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avar\OneDrive\Υπολογιστής\ελενη\μεταπτυχιακο\ΔΧΤ_ΜΔΕ\ΤΕΛΙΚΗ ΕΡΓΑΣΙΑ\παραδοση\"/>
    </mc:Choice>
  </mc:AlternateContent>
  <xr:revisionPtr revIDLastSave="0" documentId="13_ncr:1_{A18F609D-DB21-4F79-97A7-64953AFBF0FE}" xr6:coauthVersionLast="47" xr6:coauthVersionMax="47" xr10:uidLastSave="{00000000-0000-0000-0000-000000000000}"/>
  <bookViews>
    <workbookView xWindow="-110" yWindow="-110" windowWidth="19420" windowHeight="10300" tabRatio="500" firstSheet="4" activeTab="5" xr2:uid="{00000000-000D-0000-FFFF-FFFF00000000}"/>
  </bookViews>
  <sheets>
    <sheet name="Παραδοχές" sheetId="1" r:id="rId1"/>
    <sheet name="Ενεργειακή Κατανάλωση" sheetId="2" r:id="rId2"/>
    <sheet name="Dynamic LCA" sheetId="3" r:id="rId3"/>
    <sheet name="LCC (Ονομαστικό)" sheetId="4" r:id="rId4"/>
    <sheet name="NPV (5%)" sheetId="5" r:id="rId5"/>
    <sheet name="Ανάλυση Ευαισθησίας" sheetId="6" r:id="rId6"/>
    <sheet name="LCSA - S-LCA" sheetId="7" r:id="rId7"/>
    <sheet name="Διαγράμματα" sheetId="8" r:id="rId8"/>
  </sheets>
  <calcPr calcId="191029" iterateDelta="1E-4"/>
</workbook>
</file>

<file path=xl/calcChain.xml><?xml version="1.0" encoding="utf-8"?>
<calcChain xmlns="http://schemas.openxmlformats.org/spreadsheetml/2006/main">
  <c r="B29" i="6" l="1"/>
  <c r="B28" i="6"/>
  <c r="B27" i="6"/>
  <c r="B26" i="6"/>
  <c r="B25" i="6"/>
  <c r="B24" i="6"/>
  <c r="C12" i="7"/>
  <c r="B12" i="7"/>
  <c r="D11" i="7"/>
  <c r="D10" i="7"/>
  <c r="D9" i="7"/>
  <c r="D8" i="7"/>
  <c r="D7" i="7"/>
  <c r="D6" i="7"/>
  <c r="D5" i="7"/>
  <c r="D10" i="6"/>
  <c r="E10" i="6" s="1"/>
  <c r="C10" i="6"/>
  <c r="D9" i="6"/>
  <c r="E9" i="6" s="1"/>
  <c r="C9" i="6"/>
  <c r="D8" i="6"/>
  <c r="E8" i="6" s="1"/>
  <c r="C8" i="6"/>
  <c r="D7" i="6"/>
  <c r="E7" i="6" s="1"/>
  <c r="C7" i="6"/>
  <c r="D6" i="6"/>
  <c r="E6" i="6" s="1"/>
  <c r="C6" i="6"/>
  <c r="D5" i="6"/>
  <c r="E5" i="6" s="1"/>
  <c r="C5" i="6"/>
  <c r="C8" i="5"/>
  <c r="B8" i="5"/>
  <c r="B4" i="5"/>
  <c r="B3" i="5"/>
  <c r="B5" i="5" s="1"/>
  <c r="C7" i="4"/>
  <c r="C8" i="4" s="1"/>
  <c r="B7" i="4"/>
  <c r="B8" i="4" s="1"/>
  <c r="C4" i="4"/>
  <c r="B4" i="4"/>
  <c r="B9" i="3"/>
  <c r="B8" i="3"/>
  <c r="B7" i="3"/>
  <c r="B6" i="3"/>
  <c r="B5" i="3"/>
  <c r="C5" i="2"/>
  <c r="B5" i="2"/>
  <c r="C4" i="2"/>
  <c r="B4" i="2"/>
  <c r="F10" i="6" l="1"/>
  <c r="F9" i="6"/>
  <c r="F8" i="6"/>
  <c r="F7" i="6"/>
  <c r="F6" i="6"/>
  <c r="F5" i="6"/>
  <c r="B5" i="4"/>
  <c r="C9" i="3"/>
  <c r="C8" i="3"/>
  <c r="C7" i="3"/>
  <c r="C6" i="3"/>
  <c r="C5" i="3"/>
  <c r="C10" i="3" s="1"/>
  <c r="D4" i="2"/>
  <c r="G10" i="6"/>
  <c r="H10" i="6" s="1"/>
  <c r="I10" i="6" s="1"/>
  <c r="G9" i="6"/>
  <c r="H9" i="6" s="1"/>
  <c r="I9" i="6" s="1"/>
  <c r="G8" i="6"/>
  <c r="H8" i="6" s="1"/>
  <c r="I8" i="6" s="1"/>
  <c r="G7" i="6"/>
  <c r="H7" i="6" s="1"/>
  <c r="I7" i="6" s="1"/>
  <c r="G6" i="6"/>
  <c r="H6" i="6" s="1"/>
  <c r="I6" i="6" s="1"/>
  <c r="G5" i="6"/>
  <c r="H5" i="6" s="1"/>
  <c r="I5" i="6" s="1"/>
  <c r="C5" i="4"/>
  <c r="D9" i="3"/>
  <c r="D8" i="3"/>
  <c r="D7" i="3"/>
  <c r="D6" i="3"/>
  <c r="D5" i="3"/>
  <c r="D10" i="3" s="1"/>
  <c r="D5" i="2"/>
  <c r="C10" i="5"/>
  <c r="B10" i="5"/>
  <c r="B23" i="8"/>
  <c r="C21" i="7"/>
  <c r="C23" i="8"/>
  <c r="D21" i="7"/>
  <c r="D12" i="7"/>
  <c r="B6" i="8" l="1"/>
  <c r="D18" i="7"/>
  <c r="B18" i="3"/>
  <c r="B11" i="8"/>
  <c r="D17" i="7"/>
  <c r="D16" i="6"/>
  <c r="C9" i="5"/>
  <c r="C11" i="5" s="1"/>
  <c r="C6" i="4"/>
  <c r="C9" i="4" s="1"/>
  <c r="B5" i="8"/>
  <c r="C18" i="7"/>
  <c r="B17" i="3"/>
  <c r="B8" i="2"/>
  <c r="B9" i="2" s="1"/>
  <c r="B10" i="8"/>
  <c r="C17" i="7"/>
  <c r="C16" i="6"/>
  <c r="B12" i="3"/>
  <c r="B13" i="3" s="1"/>
  <c r="B9" i="5"/>
  <c r="B11" i="5" s="1"/>
  <c r="C20" i="7" s="1"/>
  <c r="B6" i="4"/>
  <c r="B9" i="4" s="1"/>
  <c r="B15" i="8" l="1"/>
  <c r="C19" i="7"/>
  <c r="B11" i="4"/>
  <c r="B17" i="5" s="1"/>
  <c r="C21" i="8"/>
  <c r="B21" i="8"/>
  <c r="C20" i="8"/>
  <c r="B20" i="8"/>
  <c r="B16" i="8"/>
  <c r="D19" i="7"/>
  <c r="D20" i="7"/>
  <c r="B13" i="5"/>
  <c r="B18" i="5" s="1"/>
  <c r="C22" i="8" l="1"/>
  <c r="B22" i="8"/>
</calcChain>
</file>

<file path=xl/sharedStrings.xml><?xml version="1.0" encoding="utf-8"?>
<sst xmlns="http://schemas.openxmlformats.org/spreadsheetml/2006/main" count="201" uniqueCount="152">
  <si>
    <t>Βασικές Παραδοχές Μελέτης</t>
  </si>
  <si>
    <t>Συγκριτική Αξιολόγηση Συμβατικής και Βιοκλιματικής Κατοικίας — Dynamic LCA / LCC / LCSA</t>
  </si>
  <si>
    <t>Παράμετρος</t>
  </si>
  <si>
    <t>Τιμή</t>
  </si>
  <si>
    <t>Μονάδα</t>
  </si>
  <si>
    <t>Επιφάνεια κατοικίας</t>
  </si>
  <si>
    <t>m²</t>
  </si>
  <si>
    <t>Κλιματική Ζώνη (ΚΕΝΑΚ)</t>
  </si>
  <si>
    <t>Β</t>
  </si>
  <si>
    <t>-</t>
  </si>
  <si>
    <t>Χρονικός ορίζοντας ανάλυσης</t>
  </si>
  <si>
    <t>έτη</t>
  </si>
  <si>
    <t>Ετήσια κατανάλωση ενέργειας — Συμβατική</t>
  </si>
  <si>
    <t>kWh/έτος</t>
  </si>
  <si>
    <t>Ετήσια κατανάλωση ενέργειας — Βιοκλιματική</t>
  </si>
  <si>
    <t>Αρχικό κόστος κατασκευής — Συμβατική</t>
  </si>
  <si>
    <t>€</t>
  </si>
  <si>
    <t>Αρχικό κόστος κατασκευής — Βιοκλιματική</t>
  </si>
  <si>
    <t>Ετήσιο κόστος συντήρησης — Συμβατική</t>
  </si>
  <si>
    <t>€/έτος</t>
  </si>
  <si>
    <t>Ετήσιο κόστος συντήρησης — Βιοκλιματική</t>
  </si>
  <si>
    <t>Τιμή ηλεκτρικής ενέργειας (βασικό σενάριο)</t>
  </si>
  <si>
    <t>€/kWh</t>
  </si>
  <si>
    <t>Τιμή ηλεκτρικής ενέργειας (χαμηλό σενάριο)</t>
  </si>
  <si>
    <t>Τιμή ηλεκτρικής ενέργειας (υψηλό σενάριο)</t>
  </si>
  <si>
    <t>Προεξοφλητικό επιτόκιο (βασικό σενάριο)</t>
  </si>
  <si>
    <t>Προεξοφλητικό επιτόκιο (χαμηλό σενάριο)</t>
  </si>
  <si>
    <t>Προεξοφλητικό επιτόκιο (υψηλό σενάριο)</t>
  </si>
  <si>
    <t>Συντελεστές Εκπομπών CO₂ ανά Δεκαετία (σταδιακή αποανθρακοποίηση δικτύου) — βασικό σενάριο</t>
  </si>
  <si>
    <t>Περίοδος</t>
  </si>
  <si>
    <t>Συντελεστής εκπομπών (kg CO₂/kWh)</t>
  </si>
  <si>
    <t>0–10 έτη</t>
  </si>
  <si>
    <t>10–20 έτη</t>
  </si>
  <si>
    <t>20–30 έτη</t>
  </si>
  <si>
    <t>30–40 έτη</t>
  </si>
  <si>
    <t>40–50 έτη</t>
  </si>
  <si>
    <t>Α.1 – Α.2  Λειτουργική Κατανάλωση Ενέργειας</t>
  </si>
  <si>
    <t>Κατοικία</t>
  </si>
  <si>
    <t>Ετήσια κατανάλωση (kWh/έτος)</t>
  </si>
  <si>
    <t>Χρονικός ορίζοντας (έτη)</t>
  </si>
  <si>
    <t>Συνολική κατανάλωση 50 ετών (kWh)</t>
  </si>
  <si>
    <t>Συμβατική κατοικία</t>
  </si>
  <si>
    <t>Βιοκλιματική κατοικία</t>
  </si>
  <si>
    <t>Μείωση κατανάλωσης ενέργειας βιοκλιματικής έναντι συμβατικής:</t>
  </si>
  <si>
    <t>Απόλυτη μείωση (kWh, 50 έτη)</t>
  </si>
  <si>
    <t>Ποσοστό μείωσης (%)</t>
  </si>
  <si>
    <t>Α.3 – Α.4  Υπολογισμός Εκπομπών CO₂ (Dynamic LCA)</t>
  </si>
  <si>
    <t>Εκπομπές CO₂ δεκαετίας = Ετήσια κατανάλωση ενέργειας × 10 έτη × Συντελεστής εκπομπών περιόδου</t>
  </si>
  <si>
    <t>Συμβατική (kg CO₂)</t>
  </si>
  <si>
    <t>Βιοκλιματική (kg CO₂)</t>
  </si>
  <si>
    <t>Σύνολο (50 έτη)</t>
  </si>
  <si>
    <t>Συνολική μείωση εκπομπών CO₂ (kg)</t>
  </si>
  <si>
    <t>Σύγκριση Static LCA vs Dynamic LCA (σταθερός συντελεστής 0,40 kg CO₂/kWh)</t>
  </si>
  <si>
    <t>Static LCA — Συμβατική (kg CO₂)</t>
  </si>
  <si>
    <t>Static LCA — Βιοκλιματική (kg CO₂)</t>
  </si>
  <si>
    <t>Α.5  Ονομαστικό Κόστος Κύκλου Ζωής (LCC, χωρίς προεξόφληση)</t>
  </si>
  <si>
    <t>Στοιχείο κόστους</t>
  </si>
  <si>
    <t>Συμβατική κατοικία (€)</t>
  </si>
  <si>
    <t>Βιοκλιματική κατοικία (€)</t>
  </si>
  <si>
    <t>Αρχικό κόστος κατασκευής</t>
  </si>
  <si>
    <t>Ετήσιο ενεργειακό κόστος</t>
  </si>
  <si>
    <t>Συνολικό ενεργειακό κόστος (50 έτη)</t>
  </si>
  <si>
    <t>Ετήσιο κόστος συντήρησης</t>
  </si>
  <si>
    <t>Συνολικό κόστος συντήρησης (50 έτη)</t>
  </si>
  <si>
    <t>Συνολικό Κόστος Κύκλου Ζωής (LCC)</t>
  </si>
  <si>
    <t>Οικονομικό όφελος βιοκλιματικής (€)</t>
  </si>
  <si>
    <t>Α.6  Καθαρή Παρούσα Αξία Κόστους Κύκλου Ζωής (NPV, discount rate 5%)</t>
  </si>
  <si>
    <t>Προεξοφλητικό επιτόκιο (r)</t>
  </si>
  <si>
    <t>Χρονικός ορίζοντας (n, έτη)</t>
  </si>
  <si>
    <t>Annuity Factor  AF = [1-(1+r)^-n]/r</t>
  </si>
  <si>
    <t>Στοιχείο</t>
  </si>
  <si>
    <t>NPV ενεργειακού κόστους (= Ετήσιο κόστος × AF)</t>
  </si>
  <si>
    <t>NPV κόστους συντήρησης (= Ετήσιο κόστος × AF)</t>
  </si>
  <si>
    <t>Συνολικό NPV Κόστους Κύκλου Ζωής</t>
  </si>
  <si>
    <t>Διαφορά NPV (Βιοκλιματική − Συμβατική)</t>
  </si>
  <si>
    <t>Ερμηνεία: θετική τιμή σημαίνει ότι η βιοκλιματική έχει ΥΨΗΛΟΤΕΡΟ κόστος σε όρους NPV</t>
  </si>
  <si>
    <t>Σύγκριση με ονομαστική (μη προεξοφλημένη) ανάλυση:</t>
  </si>
  <si>
    <t>Ονομαστικό οικονομικό όφελος βιοκλιματικής (€)</t>
  </si>
  <si>
    <t>NPV 'όφελος' βιοκλιματικής (€) — αρνητικό = μειονέκτημα</t>
  </si>
  <si>
    <t>Πίνακας 32 — Αποτελέσματα Ανάλυσης Ευαισθησίας (NPV LCC)</t>
  </si>
  <si>
    <t>NPV = Αρχικό κόστος + (Ετήσιο ενεργειακό κόστος × AF) + (Ετήσιο κόστος συντήρησης × AF), AF=[1-(1+r)^-50]/r</t>
  </si>
  <si>
    <t>Σενάριο</t>
  </si>
  <si>
    <t>Τιμή ενέργειας (€/kWh)</t>
  </si>
  <si>
    <t>Discount rate</t>
  </si>
  <si>
    <t>AF</t>
  </si>
  <si>
    <t>NPV Συμβατικής (€)</t>
  </si>
  <si>
    <t>NPV Βιοκλιματικής (€)</t>
  </si>
  <si>
    <t>Διαφορά (Βιο−Συμβ)</t>
  </si>
  <si>
    <t>Υπερέχουσα λύση</t>
  </si>
  <si>
    <t>Τιμή ενέργειας</t>
  </si>
  <si>
    <t>0,15 €/kWh</t>
  </si>
  <si>
    <t>0,20 €/kWh (βασικό)</t>
  </si>
  <si>
    <t>0,30 €/kWh</t>
  </si>
  <si>
    <t>3%</t>
  </si>
  <si>
    <t>5% (βασικό)</t>
  </si>
  <si>
    <t>7%</t>
  </si>
  <si>
    <t>Σενάρια Αποανθρακοποίησης (επίδραση στις εκπομπές CO₂, kg)</t>
  </si>
  <si>
    <t>Συντελεστές εκπομπών (kg CO₂/kWh, ανά δεκαετία)</t>
  </si>
  <si>
    <t>Αργό σενάριο</t>
  </si>
  <si>
    <t>0,50 / 0,45 / 0,38 / 0,30 / 0,25</t>
  </si>
  <si>
    <t>Βασικό σενάριο</t>
  </si>
  <si>
    <t>0,40 / 0,32 / 0,25 / 0,18 / 0,12</t>
  </si>
  <si>
    <t>Γρήγορο σενάριο</t>
  </si>
  <si>
    <t>0,32 / 0,24 / 0,16 / 0,10 / 0,06</t>
  </si>
  <si>
    <t>Σημείωση: τα σενάρια «Αργό»/«Γρήγορο» εισάγονται ως εναλλακτικές τροχιές αποανθρακοποίησης δικτύου (βιβλιογραφικές παραδοχές εισόδου).</t>
  </si>
  <si>
    <t>Πίνακας 23α — Εκτεταμένη Αξιολόγηση Κοινωνικών Δεικτών (S-LCA, κλίμακα 1–5)</t>
  </si>
  <si>
    <t>Ποιοτική/ημιποσοτική βαθμολόγηση βάσει βιβλιογραφίας (UNEP 2011· Larsen et al., 2022) — τα σκορ εισάγονται ως δεδομένα, ο μέσος όρος υπολογίζεται.</t>
  </si>
  <si>
    <t>Κοινωνικός Δείκτης</t>
  </si>
  <si>
    <t>Συμβατική (1-5)</t>
  </si>
  <si>
    <t>Βιοκλιματική (1-5)</t>
  </si>
  <si>
    <t>Θερμική άνεση</t>
  </si>
  <si>
    <t>Ποιότητα εσωτερικού αέρα (IAQ)</t>
  </si>
  <si>
    <t>Φυσικός φωτισμός</t>
  </si>
  <si>
    <t>Κίνδυνος ενεργειακής φτώχειας</t>
  </si>
  <si>
    <t>Ηχομόνωση / Ακουστική άνεση</t>
  </si>
  <si>
    <t>Υγεία &amp; ευημερία χρηστών</t>
  </si>
  <si>
    <t>Προσαρμοστικότητα στην κλιματική αλλαγή</t>
  </si>
  <si>
    <t>Μέσος όρος κοινωνικής βαθμολογίας</t>
  </si>
  <si>
    <t>Πίνακας 23 — Σύνθεση Αποτελεσμάτων Εφαρμογής LCSA</t>
  </si>
  <si>
    <t>Διάσταση</t>
  </si>
  <si>
    <t>Δείκτης αξιολόγησης</t>
  </si>
  <si>
    <t>Περιβαλλοντική</t>
  </si>
  <si>
    <t>Συνολικές εκπομπές CO₂</t>
  </si>
  <si>
    <t>Βιοκλιματική</t>
  </si>
  <si>
    <t>Κατανάλωση ενέργειας</t>
  </si>
  <si>
    <t>Οικονομική</t>
  </si>
  <si>
    <t>Κόστος κύκλου ζωής (ονομαστικό)</t>
  </si>
  <si>
    <t>Κόστος κύκλου ζωής (NPV, 5%)</t>
  </si>
  <si>
    <t>Εξαρτάται από παραδοχές</t>
  </si>
  <si>
    <t>Κοινωνική</t>
  </si>
  <si>
    <t>Μέσος όρος S-LCA (1-5)</t>
  </si>
  <si>
    <t>Σχήματα 5–8  Συγκριτικά Διαγράμματα Συμβατικής και Βιοκλιματικής Κατοικίας</t>
  </si>
  <si>
    <t>Συνολική κατανάλωση ενέργειας 50 ετών (kWh)</t>
  </si>
  <si>
    <t>Συμβατική</t>
  </si>
  <si>
    <t>Σχήμα 6 — Δεδομένα</t>
  </si>
  <si>
    <t>Συνολικές εκπομπές CO₂ 50 ετών (kg)</t>
  </si>
  <si>
    <t>Σχήμα 7 — Δεδομένα</t>
  </si>
  <si>
    <t>Συνολικό Κόστος Κύκλου Ζωής (€)</t>
  </si>
  <si>
    <t>Ενεργειακή απόδοση</t>
  </si>
  <si>
    <t>Περιβαλλοντική απόδοση (CO₂)</t>
  </si>
  <si>
    <t>Οικονομική απόδοση (LCC)</t>
  </si>
  <si>
    <t>Κοινωνική απόδοση (S-LCA)</t>
  </si>
  <si>
    <t>Σχήμα 8 — Δεδομένα</t>
  </si>
  <si>
    <t>Σχήμα 9 — Δεδομένα (κανονικοποιημένος δείκτης 0–100, όπου 100 = βέλτιστη επίδοση)</t>
  </si>
  <si>
    <t>Διαφορά NPV (€)</t>
  </si>
  <si>
    <t>Τιμή 0,15 €/kWh</t>
  </si>
  <si>
    <t>Τιμή 0,20 €/kWh (βασικό)</t>
  </si>
  <si>
    <t>Τιμή 0,30 €/kWh</t>
  </si>
  <si>
    <t>Discount rate 3%</t>
  </si>
  <si>
    <t>Discount rate 5% (βασικό)</t>
  </si>
  <si>
    <t>Discount rate 7%</t>
  </si>
  <si>
    <t>Σχήμα 10 — Δεδομένα: Διαφορά NPV ανά σενάριο (Συμβατική − Βιοκλιματική)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</si>
</sst>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"/>
  </numFmts>
  <fonts count="7" x14ac:knownFonts="1">
    <font>
      <sz val="11"/>
      <color theme="1"/>
      <name val="Calibri"/>
      <family val="2"/>
      <charset val="1"/>
    </font>
    <font>
      <b/>
      <sz val="13"/>
      <color rgb="FF1F4E78"/>
      <name val="Cambria"/>
      <family val="1"/>
      <charset val="161"/>
    </font>
    <font>
      <i/>
      <sz val="9"/>
      <color rgb="FF666666"/>
      <name val="Cambria"/>
      <family val="1"/>
      <charset val="161"/>
    </font>
    <font>
      <b/>
      <sz val="11"/>
      <color rgb="FFFFFFFF"/>
      <name val="Cambria"/>
      <family val="1"/>
      <charset val="161"/>
    </font>
    <font>
      <sz val="11"/>
      <color rgb="FF0000FF"/>
      <name val="Cambria"/>
      <family val="1"/>
      <charset val="161"/>
    </font>
    <font>
      <b/>
      <sz val="11"/>
      <name val="Cambria"/>
      <family val="1"/>
      <charset val="161"/>
    </font>
    <font>
      <sz val="11"/>
      <color rgb="FF008000"/>
      <name val="Cambria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CCFFFF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4" fillId="0" borderId="1" xfId="0" applyNumberFormat="1" applyFont="1" applyBorder="1"/>
    <xf numFmtId="0" fontId="4" fillId="0" borderId="1" xfId="0" applyFont="1" applyBorder="1"/>
    <xf numFmtId="9" fontId="4" fillId="0" borderId="1" xfId="0" applyNumberFormat="1" applyFont="1" applyBorder="1"/>
    <xf numFmtId="0" fontId="5" fillId="0" borderId="0" xfId="0" applyFont="1"/>
    <xf numFmtId="2" fontId="4" fillId="0" borderId="1" xfId="0" applyNumberFormat="1" applyFont="1" applyBorder="1"/>
    <xf numFmtId="3" fontId="6" fillId="0" borderId="1" xfId="0" applyNumberFormat="1" applyFont="1" applyBorder="1"/>
    <xf numFmtId="3" fontId="0" fillId="0" borderId="1" xfId="0" applyNumberFormat="1" applyBorder="1"/>
    <xf numFmtId="164" fontId="0" fillId="0" borderId="1" xfId="0" applyNumberFormat="1" applyBorder="1"/>
    <xf numFmtId="2" fontId="6" fillId="0" borderId="1" xfId="0" applyNumberFormat="1" applyFont="1" applyBorder="1"/>
    <xf numFmtId="0" fontId="5" fillId="3" borderId="1" xfId="0" applyFont="1" applyFill="1" applyBorder="1"/>
    <xf numFmtId="3" fontId="5" fillId="3" borderId="1" xfId="0" applyNumberFormat="1" applyFont="1" applyFill="1" applyBorder="1"/>
    <xf numFmtId="0" fontId="5" fillId="0" borderId="1" xfId="0" applyFont="1" applyBorder="1"/>
    <xf numFmtId="0" fontId="0" fillId="3" borderId="1" xfId="0" applyFill="1" applyBorder="1"/>
    <xf numFmtId="9" fontId="6" fillId="0" borderId="1" xfId="0" applyNumberFormat="1" applyFont="1" applyBorder="1"/>
    <xf numFmtId="165" fontId="0" fillId="0" borderId="1" xfId="0" applyNumberFormat="1" applyBorder="1"/>
    <xf numFmtId="2" fontId="0" fillId="0" borderId="1" xfId="0" applyNumberFormat="1" applyBorder="1"/>
    <xf numFmtId="9" fontId="0" fillId="0" borderId="1" xfId="0" applyNumberFormat="1" applyBorder="1"/>
    <xf numFmtId="166" fontId="5" fillId="3" borderId="1" xfId="0" applyNumberFormat="1" applyFont="1" applyFill="1" applyBorder="1"/>
    <xf numFmtId="166" fontId="0" fillId="0" borderId="1" xfId="0" applyNumberFormat="1" applyBorder="1"/>
    <xf numFmtId="0" fontId="3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2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l-GR" sz="1200" b="0" i="0" u="none" strike="noStrike" baseline="0"/>
              <a:t>Ανάλυση Ευαισθησίας — Διαφορά NPV</a:t>
            </a:r>
          </a:p>
          <a:p>
            <a:pPr>
              <a:defRPr sz="12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l-GR" sz="1000" b="0" i="0" u="none" strike="noStrike" baseline="0"/>
              <a:t>Θετικές τιμές: Βιοκλιματική φθηνότερη | Αρνητικές: Συμβατική φθηνότερη</a:t>
            </a:r>
            <a:endParaRPr lang="el-GR" sz="1000" b="0" strike="noStrike" spc="-1">
              <a:solidFill>
                <a:srgbClr val="000000"/>
              </a:solidFill>
              <a:latin typeface="Calibri"/>
            </a:endParaRP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79646"/>
            </a:solidFill>
            <a:ln cmpd="sng">
              <a:solidFill>
                <a:srgbClr val="D9D9D9"/>
              </a:solidFill>
            </a:ln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AFE4-4C5B-B39F-E7451AEF90F3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AFE4-4C5B-B39F-E7451AEF90F3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5-AFE4-4C5B-B39F-E7451AEF90F3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7-AFE4-4C5B-B39F-E7451AEF90F3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9-AFE4-4C5B-B39F-E7451AEF90F3}"/>
              </c:ext>
            </c:extLst>
          </c:dPt>
          <c:dPt>
            <c:idx val="5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B-AFE4-4C5B-B39F-E7451AEF90F3}"/>
              </c:ext>
            </c:extLst>
          </c:dPt>
          <c:dLbls>
            <c:dLbl>
              <c:idx val="1"/>
              <c:layout>
                <c:manualLayout>
                  <c:x val="8.1010931087165575E-2"/>
                  <c:y val="-7.434806910582337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E4-4C5B-B39F-E7451AEF90F3}"/>
                </c:ext>
              </c:extLst>
            </c:dLbl>
            <c:dLbl>
              <c:idx val="4"/>
              <c:layout>
                <c:manualLayout>
                  <c:x val="7.113141263998361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E4-4C5B-B39F-E7451AEF90F3}"/>
                </c:ext>
              </c:extLst>
            </c:dLbl>
            <c:numFmt formatCode="#,##0\ &quot;€&quot;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6"/>
              <c:pt idx="0">
                <c:v>Τιμή 0,15 €/kWh</c:v>
              </c:pt>
              <c:pt idx="1">
                <c:v>Τιμή 0,20 €/kWh (βασικό)</c:v>
              </c:pt>
              <c:pt idx="2">
                <c:v>Τιμή 0,30 €/kWh</c:v>
              </c:pt>
              <c:pt idx="3">
                <c:v>Discount rate 3%</c:v>
              </c:pt>
              <c:pt idx="4">
                <c:v>Discount rate 5% (βασικό)</c:v>
              </c:pt>
              <c:pt idx="5">
                <c:v>Discount rate 7%</c:v>
              </c:pt>
            </c:strLit>
          </c:cat>
          <c:val>
            <c:numLit>
              <c:formatCode>General</c:formatCode>
              <c:ptCount val="6"/>
              <c:pt idx="0">
                <c:v>-12449.856155887479</c:v>
              </c:pt>
              <c:pt idx="1">
                <c:v>-6425.4007539051818</c:v>
              </c:pt>
              <c:pt idx="2">
                <c:v>5623.5100500593544</c:v>
              </c:pt>
              <c:pt idx="3">
                <c:v>5682.2176913532894</c:v>
              </c:pt>
              <c:pt idx="4">
                <c:v>-6425.4007539051818</c:v>
              </c:pt>
              <c:pt idx="5">
                <c:v>-13642.791003664955</c:v>
              </c:pt>
            </c:numLit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558ED5"/>
                  </a:solidFill>
                  <a:ln cmpd="sng">
                    <a:solidFill>
                      <a:srgbClr val="D9D9D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C-AFE4-4C5B-B39F-E7451AEF90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13218456"/>
        <c:axId val="68409113"/>
      </c:barChart>
      <c:dateAx>
        <c:axId val="132184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l-GR" sz="1000" b="1" strike="noStrike" spc="-1">
                    <a:solidFill>
                      <a:srgbClr val="000000"/>
                    </a:solidFill>
                    <a:latin typeface="Calibri"/>
                  </a:rPr>
                  <a:t>Σενάριο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low"/>
        <c:spPr>
          <a:ln w="0">
            <a:solidFill>
              <a:srgbClr val="B3B3B3"/>
            </a:solidFill>
          </a:ln>
        </c:spPr>
        <c:txPr>
          <a:bodyPr rot="0" vert="horz" anchor="t" anchorCtr="0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l-GR"/>
          </a:p>
        </c:txPr>
        <c:crossAx val="68409113"/>
        <c:crosses val="autoZero"/>
        <c:auto val="0"/>
        <c:lblOffset val="100"/>
        <c:baseTimeUnit val="days"/>
      </c:dateAx>
      <c:valAx>
        <c:axId val="68409113"/>
        <c:scaling>
          <c:orientation val="minMax"/>
          <c:max val="15000"/>
          <c:min val="-20000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l-GR" sz="1000" b="1" strike="noStrike" spc="-1">
                    <a:solidFill>
                      <a:srgbClr val="000000"/>
                    </a:solidFill>
                    <a:latin typeface="Calibri"/>
                  </a:rPr>
                  <a:t>Διαφορά </a:t>
                </a: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NPV (€)</a:t>
                </a:r>
              </a:p>
            </c:rich>
          </c:tx>
          <c:overlay val="0"/>
          <c:spPr>
            <a:noFill/>
          </c:spPr>
        </c:title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l-GR"/>
          </a:p>
        </c:txPr>
        <c:crossAx val="13218456"/>
        <c:crosses val="autoZero"/>
        <c:crossBetween val="between"/>
        <c:majorUnit val="5000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200"/>
              <a:t>Συνολική Κατανάλωση Ενέργειας 50 ετών (</a:t>
            </a:r>
            <a:r>
              <a:rPr lang="en-US" sz="1200"/>
              <a:t>kWh)</a:t>
            </a:r>
          </a:p>
        </c:rich>
      </c:tx>
      <c:layout>
        <c:manualLayout>
          <c:xMode val="edge"/>
          <c:yMode val="edge"/>
          <c:x val="0.2141800945767855"/>
          <c:y val="1.073070155169655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0.16847049182143373"/>
          <c:y val="0.10140203693499938"/>
          <c:w val="0.82564980010410094"/>
          <c:h val="0.78948010166900706"/>
        </c:manualLayout>
      </c:layout>
      <c:barChart>
        <c:barDir val="col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598-4EE5-A23D-F9486507FBDF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98-4EE5-A23D-F9486507FBDF}"/>
              </c:ext>
            </c:extLst>
          </c:dPt>
          <c:dLbls>
            <c:dLbl>
              <c:idx val="0"/>
              <c:layout>
                <c:manualLayout>
                  <c:x val="-8.8193287037037042E-3"/>
                  <c:y val="0.1505185185185185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C9B6D3F8-8300-4FC8-8D18-BFE97968997F}" type="VALUE">
                      <a:rPr lang="en-US" baseline="0"/>
                      <a:pPr/>
                      <a:t>[ΤΙΜΗ]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>
                  <c15:layout>
                    <c:manualLayout>
                      <c:w val="0.20788888888888887"/>
                      <c:h val="0.1174514814814814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598-4EE5-A23D-F9486507FBDF}"/>
                </c:ext>
              </c:extLst>
            </c:dLbl>
            <c:dLbl>
              <c:idx val="1"/>
              <c:layout>
                <c:manualLayout>
                  <c:x val="-1.4699074074074074E-2"/>
                  <c:y val="0.19755555555555557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25B60C9D-F0D3-4639-B6D2-A828406D46FE}" type="VALUE">
                      <a:rPr lang="en-US" baseline="0"/>
                      <a:pPr/>
                      <a:t>[ΤΙΜΗ]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598-4EE5-A23D-F9486507FB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Διαγράμματα!$A$5:$A$6</c:f>
              <c:strCache>
                <c:ptCount val="2"/>
                <c:pt idx="0">
                  <c:v>Συμβατική</c:v>
                </c:pt>
                <c:pt idx="1">
                  <c:v>Βιοκλιματική</c:v>
                </c:pt>
              </c:strCache>
            </c:strRef>
          </c:cat>
          <c:val>
            <c:numRef>
              <c:f>Διαγράμματα!$B$5:$B$6</c:f>
              <c:numCache>
                <c:formatCode>#,##0</c:formatCode>
                <c:ptCount val="2"/>
                <c:pt idx="0">
                  <c:v>840000</c:v>
                </c:pt>
                <c:pt idx="1">
                  <c:v>510000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8-4EE5-A23D-F9486507F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Κατοικία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kWh</a:t>
                </a:r>
              </a:p>
            </c:rich>
          </c:tx>
          <c:layout>
            <c:manualLayout>
              <c:xMode val="edge"/>
              <c:yMode val="edge"/>
              <c:x val="4.3335880483294016E-2"/>
              <c:y val="0.85538045893247538"/>
            </c:manualLayout>
          </c:layout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200"/>
              <a:t>Συνολικές Εκπομπές </a:t>
            </a:r>
            <a:r>
              <a:rPr lang="en-US" sz="1200"/>
              <a:t>CO₂ 50 </a:t>
            </a:r>
            <a:r>
              <a:rPr lang="el-GR" sz="1200"/>
              <a:t>ετών (</a:t>
            </a:r>
            <a:r>
              <a:rPr lang="en-US" sz="1200"/>
              <a:t>kg)</a:t>
            </a:r>
          </a:p>
        </c:rich>
      </c:tx>
      <c:layout>
        <c:manualLayout>
          <c:xMode val="edge"/>
          <c:yMode val="edge"/>
          <c:x val="0.22350300925925923"/>
          <c:y val="1.411111111111111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0.13076041666666666"/>
          <c:y val="0.11288888888888889"/>
          <c:w val="0.80750347222222219"/>
          <c:h val="0.76858592592592589"/>
        </c:manualLayout>
      </c:layout>
      <c:barChart>
        <c:barDir val="col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DB-4C64-9628-B2F7A8CEA269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5DB-4C64-9628-B2F7A8CEA269}"/>
              </c:ext>
            </c:extLst>
          </c:dPt>
          <c:dLbls>
            <c:dLbl>
              <c:idx val="0"/>
              <c:layout>
                <c:manualLayout>
                  <c:x val="-8.819444444444444E-3"/>
                  <c:y val="0.18344444444444444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3285A0CB-060B-49A8-B396-3D8EDB1138DC}" type="VALUE">
                      <a:rPr lang="en-US" baseline="0"/>
                      <a:pPr/>
                      <a:t>[ΤΙΜΗ]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5DB-4C64-9628-B2F7A8CEA269}"/>
                </c:ext>
              </c:extLst>
            </c:dLbl>
            <c:dLbl>
              <c:idx val="1"/>
              <c:layout>
                <c:manualLayout>
                  <c:x val="-2.9398148148148148E-3"/>
                  <c:y val="0.16462962962962954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180248E3-FFC0-4492-BCFC-CA00C45618C8}" type="VALUE">
                      <a:rPr lang="en-US" baseline="0"/>
                      <a:pPr/>
                      <a:t>[ΤΙΜΗ]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5DB-4C64-9628-B2F7A8CEA2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Διαγράμματα!$A$10:$A$11</c:f>
              <c:strCache>
                <c:ptCount val="2"/>
                <c:pt idx="0">
                  <c:v>Συμβατική</c:v>
                </c:pt>
                <c:pt idx="1">
                  <c:v>Βιοκλιματική</c:v>
                </c:pt>
              </c:strCache>
            </c:strRef>
          </c:cat>
          <c:val>
            <c:numRef>
              <c:f>Διαγράμματα!$B$10:$B$11</c:f>
              <c:numCache>
                <c:formatCode>#,##0</c:formatCode>
                <c:ptCount val="2"/>
                <c:pt idx="0">
                  <c:v>213360</c:v>
                </c:pt>
                <c:pt idx="1">
                  <c:v>129540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B-4C64-9628-B2F7A8CEA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Κατοικία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kg CO₂</a:t>
                </a:r>
              </a:p>
            </c:rich>
          </c:tx>
          <c:layout>
            <c:manualLayout>
              <c:xMode val="edge"/>
              <c:yMode val="edge"/>
              <c:x val="3.8217592592592595E-2"/>
              <c:y val="0.81745703703703687"/>
            </c:manualLayout>
          </c:layout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200"/>
              <a:t>Συνολικό Κόστος Κύκλου Ζωής (</a:t>
            </a:r>
            <a:r>
              <a:rPr lang="en-US" sz="1200"/>
              <a:t>LCC</a:t>
            </a:r>
            <a:r>
              <a:rPr lang="el-GR" sz="1200"/>
              <a:t>)</a:t>
            </a:r>
          </a:p>
        </c:rich>
      </c:tx>
      <c:layout>
        <c:manualLayout>
          <c:xMode val="edge"/>
          <c:yMode val="edge"/>
          <c:x val="0.31805486111111109"/>
          <c:y val="5.6444444444444443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0.13370023148148147"/>
          <c:y val="5.6444444444444443E-2"/>
          <c:w val="0.83690162037037041"/>
          <c:h val="0.83914148148148149"/>
        </c:manualLayout>
      </c:layout>
      <c:barChart>
        <c:barDir val="col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503-4F1E-A379-E88ED5D25793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503-4F1E-A379-E88ED5D25793}"/>
              </c:ext>
            </c:extLst>
          </c:dPt>
          <c:dLbls>
            <c:dLbl>
              <c:idx val="0"/>
              <c:layout>
                <c:manualLayout>
                  <c:x val="-1.1759259259259259E-2"/>
                  <c:y val="0.19285185185185186"/>
                </c:manualLayout>
              </c:layout>
              <c:tx>
                <c:rich>
                  <a:bodyPr/>
                  <a:lstStyle/>
                  <a:p>
                    <a:fld id="{1F245B8C-789C-456A-B5E1-D028D1B161C1}" type="VALUE">
                      <a:rPr lang="en-US" baseline="0"/>
                      <a:pPr/>
                      <a:t>[ΤΙΜΗ]</a:t>
                    </a:fld>
                    <a:endParaRPr lang="el-GR"/>
                  </a:p>
                </c:rich>
              </c:tx>
              <c:dLblPos val="outEnd"/>
              <c:showLegendKey val="0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503-4F1E-A379-E88ED5D25793}"/>
                </c:ext>
              </c:extLst>
            </c:dLbl>
            <c:dLbl>
              <c:idx val="1"/>
              <c:layout>
                <c:manualLayout>
                  <c:x val="-5.8796296296296296E-3"/>
                  <c:y val="0.20696296296296296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1F2E5846-FF66-4508-ACC0-34546F168146}" type="VALUE">
                      <a:rPr lang="en-US" baseline="0"/>
                      <a:pPr/>
                      <a:t>[ΤΙΜΗ]</a:t>
                    </a:fld>
                    <a:endParaRPr lang="en-US" baseline="0"/>
                  </a:p>
                </c:rich>
              </c:tx>
              <c:dLblPos val="outEnd"/>
              <c:showLegendKey val="0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8503-4F1E-A379-E88ED5D257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outEnd"/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Διαγράμματα!$A$15:$A$16</c:f>
              <c:strCache>
                <c:ptCount val="2"/>
                <c:pt idx="0">
                  <c:v>Συμβατική</c:v>
                </c:pt>
                <c:pt idx="1">
                  <c:v>Βιοκλιματική</c:v>
                </c:pt>
              </c:strCache>
            </c:strRef>
          </c:cat>
          <c:val>
            <c:numRef>
              <c:f>Διαγράμματα!$B$15:$B$16</c:f>
              <c:numCache>
                <c:formatCode>#,##0</c:formatCode>
                <c:ptCount val="2"/>
                <c:pt idx="0">
                  <c:v>447000</c:v>
                </c:pt>
                <c:pt idx="1">
                  <c:v>402000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3-4F1E-A379-E88ED5D257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Κατοικία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€</a:t>
                </a:r>
              </a:p>
            </c:rich>
          </c:tx>
          <c:layout>
            <c:manualLayout>
              <c:xMode val="edge"/>
              <c:yMode val="edge"/>
              <c:x val="5.5856481481481479E-2"/>
              <c:y val="0.92035037037037037"/>
            </c:manualLayout>
          </c:layout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Συγκριτική αξιολόγηση βιωσιμότητας κατοικιών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radarChart>
        <c:radarStyle val="marker"/>
        <c:varyColors val="1"/>
        <c:ser>
          <c:idx val="0"/>
          <c:order val="0"/>
          <c:tx>
            <c:strRef>
              <c:f>Διαγράμματα!$B$19</c:f>
              <c:strCache>
                <c:ptCount val="1"/>
                <c:pt idx="0">
                  <c:v>Συμβατική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Διαγράμματα!$A$20:$A$23</c:f>
              <c:strCache>
                <c:ptCount val="4"/>
                <c:pt idx="0">
                  <c:v>Ενεργειακή απόδοση</c:v>
                </c:pt>
                <c:pt idx="1">
                  <c:v>Περιβαλλοντική απόδοση (CO₂)</c:v>
                </c:pt>
                <c:pt idx="2">
                  <c:v>Οικονομική απόδοση (LCC)</c:v>
                </c:pt>
                <c:pt idx="3">
                  <c:v>Κοινωνική απόδοση (S-LCA)</c:v>
                </c:pt>
              </c:strCache>
            </c:strRef>
          </c:cat>
          <c:val>
            <c:numRef>
              <c:f>Διαγράμματα!$B$20:$B$23</c:f>
              <c:numCache>
                <c:formatCode>0.0</c:formatCode>
                <c:ptCount val="4"/>
                <c:pt idx="0">
                  <c:v>60.714285714285708</c:v>
                </c:pt>
                <c:pt idx="1">
                  <c:v>60.714285714285708</c:v>
                </c:pt>
                <c:pt idx="2">
                  <c:v>89.932885906040269</c:v>
                </c:pt>
                <c:pt idx="3">
                  <c:v>42.857142857142854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FC-4D31-909F-185A28ACDC4E}"/>
            </c:ext>
          </c:extLst>
        </c:ser>
        <c:ser>
          <c:idx val="1"/>
          <c:order val="1"/>
          <c:tx>
            <c:strRef>
              <c:f>Διαγράμματα!$C$19</c:f>
              <c:strCache>
                <c:ptCount val="1"/>
                <c:pt idx="0">
                  <c:v>Βιοκλιματική</c:v>
                </c:pt>
              </c:strCache>
            </c:strRef>
          </c:tx>
          <c:spPr>
            <a:ln w="158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Διαγράμματα!$A$20:$A$23</c:f>
              <c:strCache>
                <c:ptCount val="4"/>
                <c:pt idx="0">
                  <c:v>Ενεργειακή απόδοση</c:v>
                </c:pt>
                <c:pt idx="1">
                  <c:v>Περιβαλλοντική απόδοση (CO₂)</c:v>
                </c:pt>
                <c:pt idx="2">
                  <c:v>Οικονομική απόδοση (LCC)</c:v>
                </c:pt>
                <c:pt idx="3">
                  <c:v>Κοινωνική απόδοση (S-LCA)</c:v>
                </c:pt>
              </c:strCache>
            </c:strRef>
          </c:cat>
          <c:val>
            <c:numRef>
              <c:f>Διαγράμματα!$C$20:$C$23</c:f>
              <c:numCache>
                <c:formatCode>0.0</c:formatCode>
                <c:ptCount val="4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88.571428571428584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FC-4D31-909F-185A28ACD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2722</xdr:rowOff>
    </xdr:from>
    <xdr:to>
      <xdr:col>11</xdr:col>
      <xdr:colOff>152400</xdr:colOff>
      <xdr:row>39</xdr:row>
      <xdr:rowOff>121730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B71548FE-E747-41B1-A7F1-15E678B37B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1</xdr:row>
      <xdr:rowOff>171450</xdr:rowOff>
    </xdr:from>
    <xdr:ext cx="4514850" cy="28130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12700</xdr:colOff>
      <xdr:row>18</xdr:row>
      <xdr:rowOff>171450</xdr:rowOff>
    </xdr:from>
    <xdr:ext cx="432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36</xdr:row>
      <xdr:rowOff>0</xdr:rowOff>
    </xdr:from>
    <xdr:ext cx="432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3</xdr:col>
      <xdr:colOff>152400</xdr:colOff>
      <xdr:row>53</xdr:row>
      <xdr:rowOff>44450</xdr:rowOff>
    </xdr:from>
    <xdr:ext cx="5994400" cy="446405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zoomScaleNormal="100" workbookViewId="0">
      <pane ySplit="3" topLeftCell="A4" activePane="bottomLeft" state="frozen"/>
      <selection pane="bottomLeft" activeCell="B6" sqref="B6"/>
    </sheetView>
  </sheetViews>
  <sheetFormatPr defaultColWidth="8.6328125" defaultRowHeight="14.5" x14ac:dyDescent="0.35"/>
  <cols>
    <col min="1" max="1" width="45" customWidth="1"/>
    <col min="2" max="2" width="14" customWidth="1"/>
    <col min="3" max="3" width="12" customWidth="1"/>
  </cols>
  <sheetData>
    <row r="1" spans="1:3" ht="15.75" customHeight="1" x14ac:dyDescent="0.35">
      <c r="A1" s="1" t="s">
        <v>0</v>
      </c>
    </row>
    <row r="2" spans="1:3" ht="15" customHeight="1" x14ac:dyDescent="0.35">
      <c r="A2" s="2" t="s">
        <v>1</v>
      </c>
    </row>
    <row r="4" spans="1:3" ht="15" customHeight="1" x14ac:dyDescent="0.35">
      <c r="A4" s="3" t="s">
        <v>2</v>
      </c>
      <c r="B4" s="3" t="s">
        <v>3</v>
      </c>
      <c r="C4" s="3" t="s">
        <v>4</v>
      </c>
    </row>
    <row r="5" spans="1:3" ht="15" customHeight="1" x14ac:dyDescent="0.35">
      <c r="A5" s="4" t="s">
        <v>5</v>
      </c>
      <c r="B5" s="5">
        <v>120</v>
      </c>
      <c r="C5" s="4" t="s">
        <v>6</v>
      </c>
    </row>
    <row r="6" spans="1:3" ht="15" customHeight="1" x14ac:dyDescent="0.35">
      <c r="A6" s="4" t="s">
        <v>7</v>
      </c>
      <c r="B6" s="6" t="s">
        <v>8</v>
      </c>
      <c r="C6" s="4" t="s">
        <v>9</v>
      </c>
    </row>
    <row r="7" spans="1:3" ht="15" customHeight="1" x14ac:dyDescent="0.35">
      <c r="A7" s="4" t="s">
        <v>10</v>
      </c>
      <c r="B7" s="5">
        <v>50</v>
      </c>
      <c r="C7" s="4" t="s">
        <v>11</v>
      </c>
    </row>
    <row r="9" spans="1:3" ht="15" customHeight="1" x14ac:dyDescent="0.35">
      <c r="A9" s="4" t="s">
        <v>12</v>
      </c>
      <c r="B9" s="5">
        <v>16800</v>
      </c>
      <c r="C9" s="4" t="s">
        <v>13</v>
      </c>
    </row>
    <row r="10" spans="1:3" ht="15" customHeight="1" x14ac:dyDescent="0.35">
      <c r="A10" s="4" t="s">
        <v>14</v>
      </c>
      <c r="B10" s="5">
        <v>10200</v>
      </c>
      <c r="C10" s="4" t="s">
        <v>13</v>
      </c>
    </row>
    <row r="12" spans="1:3" ht="15" customHeight="1" x14ac:dyDescent="0.35">
      <c r="A12" s="4" t="s">
        <v>15</v>
      </c>
      <c r="B12" s="5">
        <v>204000</v>
      </c>
      <c r="C12" s="4" t="s">
        <v>16</v>
      </c>
    </row>
    <row r="13" spans="1:3" ht="15" customHeight="1" x14ac:dyDescent="0.35">
      <c r="A13" s="4" t="s">
        <v>17</v>
      </c>
      <c r="B13" s="5">
        <v>240000</v>
      </c>
      <c r="C13" s="4" t="s">
        <v>16</v>
      </c>
    </row>
    <row r="14" spans="1:3" ht="15" customHeight="1" x14ac:dyDescent="0.35">
      <c r="A14" s="4" t="s">
        <v>18</v>
      </c>
      <c r="B14" s="5">
        <v>1500</v>
      </c>
      <c r="C14" s="4" t="s">
        <v>19</v>
      </c>
    </row>
    <row r="15" spans="1:3" ht="15" customHeight="1" x14ac:dyDescent="0.35">
      <c r="A15" s="4" t="s">
        <v>20</v>
      </c>
      <c r="B15" s="5">
        <v>1200</v>
      </c>
      <c r="C15" s="4" t="s">
        <v>19</v>
      </c>
    </row>
    <row r="17" spans="1:3" ht="15" customHeight="1" x14ac:dyDescent="0.35">
      <c r="A17" s="4" t="s">
        <v>21</v>
      </c>
      <c r="B17" s="7">
        <v>0.2</v>
      </c>
      <c r="C17" s="4" t="s">
        <v>22</v>
      </c>
    </row>
    <row r="18" spans="1:3" ht="15" customHeight="1" x14ac:dyDescent="0.35">
      <c r="A18" s="4" t="s">
        <v>23</v>
      </c>
      <c r="B18" s="7">
        <v>0.15</v>
      </c>
      <c r="C18" s="4" t="s">
        <v>22</v>
      </c>
    </row>
    <row r="19" spans="1:3" ht="15" customHeight="1" x14ac:dyDescent="0.35">
      <c r="A19" s="4" t="s">
        <v>24</v>
      </c>
      <c r="B19" s="7">
        <v>0.3</v>
      </c>
      <c r="C19" s="4" t="s">
        <v>22</v>
      </c>
    </row>
    <row r="21" spans="1:3" ht="15" customHeight="1" x14ac:dyDescent="0.35">
      <c r="A21" s="4" t="s">
        <v>25</v>
      </c>
      <c r="B21" s="7">
        <v>0.05</v>
      </c>
      <c r="C21" s="4" t="s">
        <v>9</v>
      </c>
    </row>
    <row r="22" spans="1:3" ht="15" customHeight="1" x14ac:dyDescent="0.35">
      <c r="A22" s="4" t="s">
        <v>26</v>
      </c>
      <c r="B22" s="7">
        <v>0.03</v>
      </c>
      <c r="C22" s="4" t="s">
        <v>9</v>
      </c>
    </row>
    <row r="23" spans="1:3" ht="15" customHeight="1" x14ac:dyDescent="0.35">
      <c r="A23" s="4" t="s">
        <v>27</v>
      </c>
      <c r="B23" s="7">
        <v>7.0000000000000007E-2</v>
      </c>
      <c r="C23" s="4" t="s">
        <v>9</v>
      </c>
    </row>
    <row r="25" spans="1:3" ht="15" customHeight="1" x14ac:dyDescent="0.35">
      <c r="A25" s="8" t="s">
        <v>28</v>
      </c>
    </row>
    <row r="26" spans="1:3" ht="54.75" customHeight="1" x14ac:dyDescent="0.35">
      <c r="A26" s="3" t="s">
        <v>29</v>
      </c>
      <c r="B26" s="3" t="s">
        <v>30</v>
      </c>
    </row>
    <row r="27" spans="1:3" ht="15" customHeight="1" x14ac:dyDescent="0.35">
      <c r="A27" s="4" t="s">
        <v>31</v>
      </c>
      <c r="B27" s="9">
        <v>0.4</v>
      </c>
    </row>
    <row r="28" spans="1:3" ht="15" customHeight="1" x14ac:dyDescent="0.35">
      <c r="A28" s="4" t="s">
        <v>32</v>
      </c>
      <c r="B28" s="9">
        <v>0.32</v>
      </c>
    </row>
    <row r="29" spans="1:3" ht="15" customHeight="1" x14ac:dyDescent="0.35">
      <c r="A29" s="4" t="s">
        <v>33</v>
      </c>
      <c r="B29" s="9">
        <v>0.25</v>
      </c>
    </row>
    <row r="30" spans="1:3" ht="15" customHeight="1" x14ac:dyDescent="0.35">
      <c r="A30" s="4" t="s">
        <v>34</v>
      </c>
      <c r="B30" s="9">
        <v>0.18</v>
      </c>
    </row>
    <row r="31" spans="1:3" ht="15" customHeight="1" x14ac:dyDescent="0.35">
      <c r="A31" s="4" t="s">
        <v>35</v>
      </c>
      <c r="B31" s="9">
        <v>0.12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4" zoomScaleNormal="100" workbookViewId="0">
      <selection activeCell="B9" sqref="B9"/>
    </sheetView>
  </sheetViews>
  <sheetFormatPr defaultColWidth="8.6328125" defaultRowHeight="14.5" x14ac:dyDescent="0.35"/>
  <cols>
    <col min="1" max="1" width="32" customWidth="1"/>
    <col min="2" max="2" width="26" customWidth="1"/>
    <col min="3" max="3" width="22" customWidth="1"/>
    <col min="4" max="4" width="30" customWidth="1"/>
  </cols>
  <sheetData>
    <row r="1" spans="1:4" ht="15.75" customHeight="1" x14ac:dyDescent="0.35">
      <c r="A1" s="1" t="s">
        <v>36</v>
      </c>
    </row>
    <row r="3" spans="1:4" ht="27.75" customHeight="1" x14ac:dyDescent="0.35">
      <c r="A3" s="3" t="s">
        <v>37</v>
      </c>
      <c r="B3" s="3" t="s">
        <v>38</v>
      </c>
      <c r="C3" s="3" t="s">
        <v>39</v>
      </c>
      <c r="D3" s="3" t="s">
        <v>40</v>
      </c>
    </row>
    <row r="4" spans="1:4" ht="15" customHeight="1" x14ac:dyDescent="0.35">
      <c r="A4" s="4" t="s">
        <v>41</v>
      </c>
      <c r="B4" s="10">
        <f>Παραδοχές!B9</f>
        <v>16800</v>
      </c>
      <c r="C4" s="10">
        <f>Παραδοχές!B7</f>
        <v>50</v>
      </c>
      <c r="D4" s="11">
        <f>B4*C4</f>
        <v>840000</v>
      </c>
    </row>
    <row r="5" spans="1:4" ht="15" customHeight="1" x14ac:dyDescent="0.35">
      <c r="A5" s="4" t="s">
        <v>42</v>
      </c>
      <c r="B5" s="10">
        <f>Παραδοχές!B10</f>
        <v>10200</v>
      </c>
      <c r="C5" s="10">
        <f>Παραδοχές!B7</f>
        <v>50</v>
      </c>
      <c r="D5" s="11">
        <f>B5*C5</f>
        <v>510000</v>
      </c>
    </row>
    <row r="7" spans="1:4" ht="15" customHeight="1" x14ac:dyDescent="0.35">
      <c r="A7" s="8" t="s">
        <v>43</v>
      </c>
    </row>
    <row r="8" spans="1:4" ht="15" customHeight="1" x14ac:dyDescent="0.35">
      <c r="A8" s="4" t="s">
        <v>44</v>
      </c>
      <c r="B8" s="11">
        <f>D4-D5</f>
        <v>330000</v>
      </c>
    </row>
    <row r="9" spans="1:4" ht="15" customHeight="1" x14ac:dyDescent="0.35">
      <c r="A9" s="4" t="s">
        <v>45</v>
      </c>
      <c r="B9" s="12">
        <f>B8/D4</f>
        <v>0.39285714285714285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topLeftCell="A40" zoomScaleNormal="100" workbookViewId="0">
      <selection activeCell="B17" sqref="B17"/>
    </sheetView>
  </sheetViews>
  <sheetFormatPr defaultColWidth="8.6328125" defaultRowHeight="14.5" x14ac:dyDescent="0.35"/>
  <cols>
    <col min="1" max="1" width="22" customWidth="1"/>
    <col min="2" max="2" width="30" customWidth="1"/>
    <col min="3" max="4" width="20" customWidth="1"/>
  </cols>
  <sheetData>
    <row r="1" spans="1:4" ht="15.75" customHeight="1" x14ac:dyDescent="0.35">
      <c r="A1" s="1" t="s">
        <v>46</v>
      </c>
    </row>
    <row r="2" spans="1:4" ht="15" customHeight="1" x14ac:dyDescent="0.35">
      <c r="A2" s="2" t="s">
        <v>47</v>
      </c>
    </row>
    <row r="4" spans="1:4" ht="27.75" customHeight="1" x14ac:dyDescent="0.35">
      <c r="A4" s="3" t="s">
        <v>29</v>
      </c>
      <c r="B4" s="3" t="s">
        <v>30</v>
      </c>
      <c r="C4" s="3" t="s">
        <v>48</v>
      </c>
      <c r="D4" s="3" t="s">
        <v>49</v>
      </c>
    </row>
    <row r="5" spans="1:4" ht="15" customHeight="1" x14ac:dyDescent="0.35">
      <c r="A5" s="4" t="s">
        <v>31</v>
      </c>
      <c r="B5" s="13">
        <f>Παραδοχές!B27</f>
        <v>0.4</v>
      </c>
      <c r="C5" s="11">
        <f>'Ενεργειακή Κατανάλωση'!$B$4*10*B5</f>
        <v>67200</v>
      </c>
      <c r="D5" s="11">
        <f>'Ενεργειακή Κατανάλωση'!$B$5*10*B5</f>
        <v>40800</v>
      </c>
    </row>
    <row r="6" spans="1:4" ht="15" customHeight="1" x14ac:dyDescent="0.35">
      <c r="A6" s="4" t="s">
        <v>32</v>
      </c>
      <c r="B6" s="13">
        <f>Παραδοχές!B28</f>
        <v>0.32</v>
      </c>
      <c r="C6" s="11">
        <f>'Ενεργειακή Κατανάλωση'!$B$4*10*B6</f>
        <v>53760</v>
      </c>
      <c r="D6" s="11">
        <f>'Ενεργειακή Κατανάλωση'!$B$5*10*B6</f>
        <v>32640</v>
      </c>
    </row>
    <row r="7" spans="1:4" ht="15" customHeight="1" x14ac:dyDescent="0.35">
      <c r="A7" s="4" t="s">
        <v>33</v>
      </c>
      <c r="B7" s="13">
        <f>Παραδοχές!B29</f>
        <v>0.25</v>
      </c>
      <c r="C7" s="11">
        <f>'Ενεργειακή Κατανάλωση'!$B$4*10*B7</f>
        <v>42000</v>
      </c>
      <c r="D7" s="11">
        <f>'Ενεργειακή Κατανάλωση'!$B$5*10*B7</f>
        <v>25500</v>
      </c>
    </row>
    <row r="8" spans="1:4" ht="15" customHeight="1" x14ac:dyDescent="0.35">
      <c r="A8" s="4" t="s">
        <v>34</v>
      </c>
      <c r="B8" s="13">
        <f>Παραδοχές!B30</f>
        <v>0.18</v>
      </c>
      <c r="C8" s="11">
        <f>'Ενεργειακή Κατανάλωση'!$B$4*10*B8</f>
        <v>30240</v>
      </c>
      <c r="D8" s="11">
        <f>'Ενεργειακή Κατανάλωση'!$B$5*10*B8</f>
        <v>18360</v>
      </c>
    </row>
    <row r="9" spans="1:4" ht="15" customHeight="1" x14ac:dyDescent="0.35">
      <c r="A9" s="4" t="s">
        <v>35</v>
      </c>
      <c r="B9" s="13">
        <f>Παραδοχές!B31</f>
        <v>0.12</v>
      </c>
      <c r="C9" s="11">
        <f>'Ενεργειακή Κατανάλωση'!$B$4*10*B9</f>
        <v>20160</v>
      </c>
      <c r="D9" s="11">
        <f>'Ενεργειακή Κατανάλωση'!$B$5*10*B9</f>
        <v>12240</v>
      </c>
    </row>
    <row r="10" spans="1:4" ht="15" customHeight="1" x14ac:dyDescent="0.35">
      <c r="A10" s="14" t="s">
        <v>50</v>
      </c>
      <c r="B10" s="14"/>
      <c r="C10" s="15">
        <f>SUM(C5:C9)</f>
        <v>213360</v>
      </c>
      <c r="D10" s="15">
        <f>SUM(D5:D9)</f>
        <v>129540</v>
      </c>
    </row>
    <row r="12" spans="1:4" ht="15" customHeight="1" x14ac:dyDescent="0.35">
      <c r="A12" s="16" t="s">
        <v>51</v>
      </c>
      <c r="B12" s="11">
        <f>C10-D10</f>
        <v>83820</v>
      </c>
    </row>
    <row r="13" spans="1:4" ht="15" customHeight="1" x14ac:dyDescent="0.35">
      <c r="A13" s="16" t="s">
        <v>45</v>
      </c>
      <c r="B13" s="12">
        <f>B12/C10</f>
        <v>0.39285714285714285</v>
      </c>
    </row>
    <row r="16" spans="1:4" ht="15" customHeight="1" x14ac:dyDescent="0.35">
      <c r="A16" s="8" t="s">
        <v>52</v>
      </c>
    </row>
    <row r="17" spans="1:2" ht="15" customHeight="1" x14ac:dyDescent="0.35">
      <c r="A17" s="4" t="s">
        <v>53</v>
      </c>
      <c r="B17" s="11">
        <f>'Ενεργειακή Κατανάλωση'!D4*0.4</f>
        <v>336000</v>
      </c>
    </row>
    <row r="18" spans="1:2" ht="15" customHeight="1" x14ac:dyDescent="0.35">
      <c r="A18" s="4" t="s">
        <v>54</v>
      </c>
      <c r="B18" s="11">
        <f>'Ενεργειακή Κατανάλωση'!D5*0.4</f>
        <v>204000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zoomScaleNormal="100" workbookViewId="0">
      <selection activeCell="B5" sqref="B5"/>
    </sheetView>
  </sheetViews>
  <sheetFormatPr defaultColWidth="8.6328125" defaultRowHeight="14.5" x14ac:dyDescent="0.35"/>
  <cols>
    <col min="1" max="1" width="38" customWidth="1"/>
    <col min="2" max="3" width="26" customWidth="1"/>
  </cols>
  <sheetData>
    <row r="1" spans="1:3" ht="15.75" customHeight="1" x14ac:dyDescent="0.35">
      <c r="A1" s="1" t="s">
        <v>55</v>
      </c>
    </row>
    <row r="3" spans="1:3" ht="27.75" customHeight="1" x14ac:dyDescent="0.35">
      <c r="A3" s="3" t="s">
        <v>56</v>
      </c>
      <c r="B3" s="3" t="s">
        <v>57</v>
      </c>
      <c r="C3" s="3" t="s">
        <v>58</v>
      </c>
    </row>
    <row r="4" spans="1:3" ht="15" customHeight="1" x14ac:dyDescent="0.35">
      <c r="A4" s="4" t="s">
        <v>59</v>
      </c>
      <c r="B4" s="5">
        <f>Παραδοχές!B12</f>
        <v>204000</v>
      </c>
      <c r="C4" s="5">
        <f>Παραδοχές!B13</f>
        <v>240000</v>
      </c>
    </row>
    <row r="5" spans="1:3" ht="15" customHeight="1" x14ac:dyDescent="0.35">
      <c r="A5" s="4" t="s">
        <v>60</v>
      </c>
      <c r="B5" s="10">
        <f>'Ενεργειακή Κατανάλωση'!B4*Παραδοχές!B17</f>
        <v>3360</v>
      </c>
      <c r="C5" s="10">
        <f>'Ενεργειακή Κατανάλωση'!B5*Παραδοχές!B17</f>
        <v>2040</v>
      </c>
    </row>
    <row r="6" spans="1:3" ht="15" customHeight="1" x14ac:dyDescent="0.35">
      <c r="A6" s="4" t="s">
        <v>61</v>
      </c>
      <c r="B6" s="10">
        <f>B5*Παραδοχές!B7</f>
        <v>168000</v>
      </c>
      <c r="C6" s="10">
        <f>C5*Παραδοχές!B7</f>
        <v>102000</v>
      </c>
    </row>
    <row r="7" spans="1:3" ht="15" customHeight="1" x14ac:dyDescent="0.35">
      <c r="A7" s="4" t="s">
        <v>62</v>
      </c>
      <c r="B7" s="5">
        <f>Παραδοχές!B14</f>
        <v>1500</v>
      </c>
      <c r="C7" s="5">
        <f>Παραδοχές!B15</f>
        <v>1200</v>
      </c>
    </row>
    <row r="8" spans="1:3" ht="15" customHeight="1" x14ac:dyDescent="0.35">
      <c r="A8" s="4" t="s">
        <v>63</v>
      </c>
      <c r="B8" s="10">
        <f>B7*Παραδοχές!B7</f>
        <v>75000</v>
      </c>
      <c r="C8" s="10">
        <f>C7*Παραδοχές!B7</f>
        <v>60000</v>
      </c>
    </row>
    <row r="9" spans="1:3" ht="15" customHeight="1" x14ac:dyDescent="0.35">
      <c r="A9" s="17" t="s">
        <v>64</v>
      </c>
      <c r="B9" s="15">
        <f>B4+B6+B8</f>
        <v>447000</v>
      </c>
      <c r="C9" s="15">
        <f>C4+C6+C8</f>
        <v>402000</v>
      </c>
    </row>
    <row r="11" spans="1:3" ht="15" customHeight="1" x14ac:dyDescent="0.35">
      <c r="A11" s="16" t="s">
        <v>65</v>
      </c>
      <c r="B11" s="11">
        <f>B9-C9</f>
        <v>45000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topLeftCell="A13" zoomScaleNormal="100" workbookViewId="0"/>
  </sheetViews>
  <sheetFormatPr defaultColWidth="8.6328125" defaultRowHeight="14.5" x14ac:dyDescent="0.35"/>
  <cols>
    <col min="1" max="1" width="48" customWidth="1"/>
    <col min="2" max="3" width="26" customWidth="1"/>
  </cols>
  <sheetData>
    <row r="1" spans="1:3" ht="15.75" customHeight="1" x14ac:dyDescent="0.35">
      <c r="A1" s="1" t="s">
        <v>66</v>
      </c>
    </row>
    <row r="3" spans="1:3" ht="15" customHeight="1" x14ac:dyDescent="0.35">
      <c r="A3" s="4" t="s">
        <v>67</v>
      </c>
      <c r="B3" s="18">
        <f>Παραδοχές!B21</f>
        <v>0.05</v>
      </c>
    </row>
    <row r="4" spans="1:3" ht="15" customHeight="1" x14ac:dyDescent="0.35">
      <c r="A4" s="4" t="s">
        <v>68</v>
      </c>
      <c r="B4" s="10">
        <f>Παραδοχές!B7</f>
        <v>50</v>
      </c>
    </row>
    <row r="5" spans="1:3" ht="15" customHeight="1" x14ac:dyDescent="0.35">
      <c r="A5" s="4" t="s">
        <v>69</v>
      </c>
      <c r="B5" s="19">
        <f>(1-(1+B3)^-B4)/B3</f>
        <v>18.255925460552387</v>
      </c>
    </row>
    <row r="7" spans="1:3" ht="27.75" customHeight="1" x14ac:dyDescent="0.35">
      <c r="A7" s="3" t="s">
        <v>70</v>
      </c>
      <c r="B7" s="3" t="s">
        <v>57</v>
      </c>
      <c r="C7" s="3" t="s">
        <v>58</v>
      </c>
    </row>
    <row r="8" spans="1:3" ht="15" customHeight="1" x14ac:dyDescent="0.35">
      <c r="A8" s="4" t="s">
        <v>59</v>
      </c>
      <c r="B8" s="11">
        <f>Παραδοχές!B12</f>
        <v>204000</v>
      </c>
      <c r="C8" s="11">
        <f>Παραδοχές!B13</f>
        <v>240000</v>
      </c>
    </row>
    <row r="9" spans="1:3" ht="15" customHeight="1" x14ac:dyDescent="0.35">
      <c r="A9" s="4" t="s">
        <v>71</v>
      </c>
      <c r="B9" s="11">
        <f>'LCC (Ονομαστικό)'!B5*B5</f>
        <v>61339.909547456016</v>
      </c>
      <c r="C9" s="11">
        <f>'LCC (Ονομαστικό)'!C5*B5</f>
        <v>37242.087939526871</v>
      </c>
    </row>
    <row r="10" spans="1:3" ht="15" customHeight="1" x14ac:dyDescent="0.35">
      <c r="A10" s="4" t="s">
        <v>72</v>
      </c>
      <c r="B10" s="11">
        <f>Παραδοχές!B14*B5</f>
        <v>27383.88819082858</v>
      </c>
      <c r="C10" s="11">
        <f>Παραδοχές!B15*B5</f>
        <v>21907.110552662863</v>
      </c>
    </row>
    <row r="11" spans="1:3" ht="15" customHeight="1" x14ac:dyDescent="0.35">
      <c r="A11" s="17" t="s">
        <v>73</v>
      </c>
      <c r="B11" s="15">
        <f>B8+B9+B10</f>
        <v>292723.79773828457</v>
      </c>
      <c r="C11" s="15">
        <f>C8+C9+C10</f>
        <v>299149.19849218975</v>
      </c>
    </row>
    <row r="13" spans="1:3" ht="15" customHeight="1" x14ac:dyDescent="0.35">
      <c r="A13" s="16" t="s">
        <v>74</v>
      </c>
      <c r="B13" s="11">
        <f>C11-B11</f>
        <v>6425.4007539051818</v>
      </c>
    </row>
    <row r="14" spans="1:3" ht="15" customHeight="1" x14ac:dyDescent="0.35">
      <c r="A14" s="2" t="s">
        <v>75</v>
      </c>
    </row>
    <row r="16" spans="1:3" ht="15" customHeight="1" x14ac:dyDescent="0.35">
      <c r="A16" s="8" t="s">
        <v>76</v>
      </c>
    </row>
    <row r="17" spans="1:2" ht="15" customHeight="1" x14ac:dyDescent="0.35">
      <c r="A17" s="4" t="s">
        <v>77</v>
      </c>
      <c r="B17" s="11">
        <f>'LCC (Ονομαστικό)'!B11</f>
        <v>45000</v>
      </c>
    </row>
    <row r="18" spans="1:2" ht="15" customHeight="1" x14ac:dyDescent="0.35">
      <c r="A18" s="4" t="s">
        <v>78</v>
      </c>
      <c r="B18" s="11">
        <f>-B13</f>
        <v>-6425.4007539051818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9"/>
  <sheetViews>
    <sheetView tabSelected="1" topLeftCell="A16" zoomScale="70" zoomScaleNormal="70" workbookViewId="0">
      <selection activeCell="G21" sqref="G21"/>
    </sheetView>
  </sheetViews>
  <sheetFormatPr defaultColWidth="8.6328125" defaultRowHeight="14.5" x14ac:dyDescent="0.35"/>
  <cols>
    <col min="1" max="1" width="16" customWidth="1"/>
    <col min="2" max="3" width="20" customWidth="1"/>
    <col min="4" max="4" width="14" customWidth="1"/>
    <col min="5" max="5" width="10" customWidth="1"/>
    <col min="6" max="7" width="20" customWidth="1"/>
    <col min="8" max="8" width="18" customWidth="1"/>
    <col min="9" max="9" width="16" customWidth="1"/>
  </cols>
  <sheetData>
    <row r="1" spans="1:9" ht="15.75" customHeight="1" x14ac:dyDescent="0.35">
      <c r="A1" s="1" t="s">
        <v>79</v>
      </c>
    </row>
    <row r="2" spans="1:9" ht="15" customHeight="1" x14ac:dyDescent="0.35">
      <c r="A2" s="2" t="s">
        <v>80</v>
      </c>
    </row>
    <row r="4" spans="1:9" ht="41.25" customHeight="1" x14ac:dyDescent="0.35">
      <c r="A4" s="3" t="s">
        <v>2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  <c r="G4" s="3" t="s">
        <v>86</v>
      </c>
      <c r="H4" s="3" t="s">
        <v>87</v>
      </c>
      <c r="I4" s="3" t="s">
        <v>88</v>
      </c>
    </row>
    <row r="5" spans="1:9" ht="15" customHeight="1" x14ac:dyDescent="0.35">
      <c r="A5" s="4" t="s">
        <v>89</v>
      </c>
      <c r="B5" s="4" t="s">
        <v>90</v>
      </c>
      <c r="C5" s="20">
        <f>Παραδοχές!$B$18</f>
        <v>0.15</v>
      </c>
      <c r="D5" s="21">
        <f>Παραδοχές!$B$21</f>
        <v>0.05</v>
      </c>
      <c r="E5" s="19">
        <f>(1-(1+D5)^-Παραδοχές!$B$7)/D5</f>
        <v>18.255925460552387</v>
      </c>
      <c r="F5" s="11">
        <f>Παραδοχές!$B$12 + ('Ενεργειακή Κατανάλωση'!$B$4*C5)*E5 + Παραδοχές!$B$14*E5</f>
        <v>277388.82035142055</v>
      </c>
      <c r="G5" s="11">
        <f>Παραδοχές!$B$13 + ('Ενεργειακή Κατανάλωση'!$B$5*C5)*E5 + Παραδοχές!$B$15*E5</f>
        <v>289838.67650730803</v>
      </c>
      <c r="H5" s="11">
        <f t="shared" ref="H5:H10" si="0">G5-F5</f>
        <v>12449.856155887479</v>
      </c>
      <c r="I5" s="4" t="str">
        <f t="shared" ref="I5:I10" si="1">IF(H5&lt;0,"Βιοκλιματική","Συμβατική")</f>
        <v>Συμβατική</v>
      </c>
    </row>
    <row r="6" spans="1:9" ht="15" customHeight="1" x14ac:dyDescent="0.35">
      <c r="A6" s="4" t="s">
        <v>89</v>
      </c>
      <c r="B6" s="4" t="s">
        <v>91</v>
      </c>
      <c r="C6" s="20">
        <f>Παραδοχές!$B$17</f>
        <v>0.2</v>
      </c>
      <c r="D6" s="21">
        <f>Παραδοχές!$B$21</f>
        <v>0.05</v>
      </c>
      <c r="E6" s="19">
        <f>(1-(1+D6)^-Παραδοχές!$B$7)/D6</f>
        <v>18.255925460552387</v>
      </c>
      <c r="F6" s="11">
        <f>Παραδοχές!$B$12 + ('Ενεργειακή Κατανάλωση'!$B$4*C6)*E6 + Παραδοχές!$B$14*E6</f>
        <v>292723.79773828457</v>
      </c>
      <c r="G6" s="11">
        <f>Παραδοχές!$B$13 + ('Ενεργειακή Κατανάλωση'!$B$5*C6)*E6 + Παραδοχές!$B$15*E6</f>
        <v>299149.19849218975</v>
      </c>
      <c r="H6" s="11">
        <f t="shared" si="0"/>
        <v>6425.4007539051818</v>
      </c>
      <c r="I6" s="4" t="str">
        <f t="shared" si="1"/>
        <v>Συμβατική</v>
      </c>
    </row>
    <row r="7" spans="1:9" ht="15" customHeight="1" x14ac:dyDescent="0.35">
      <c r="A7" s="4" t="s">
        <v>89</v>
      </c>
      <c r="B7" s="4" t="s">
        <v>92</v>
      </c>
      <c r="C7" s="20">
        <f>Παραδοχές!$B$19</f>
        <v>0.3</v>
      </c>
      <c r="D7" s="21">
        <f>Παραδοχές!$B$21</f>
        <v>0.05</v>
      </c>
      <c r="E7" s="19">
        <f>(1-(1+D7)^-Παραδοχές!$B$7)/D7</f>
        <v>18.255925460552387</v>
      </c>
      <c r="F7" s="11">
        <f>Παραδοχές!$B$12 + ('Ενεργειακή Κατανάλωση'!$B$4*C7)*E7 + Παραδοχές!$B$14*E7</f>
        <v>323393.75251201255</v>
      </c>
      <c r="G7" s="11">
        <f>Παραδοχές!$B$13 + ('Ενεργειακή Κατανάλωση'!$B$5*C7)*E7 + Παραδοχές!$B$15*E7</f>
        <v>317770.2424619532</v>
      </c>
      <c r="H7" s="11">
        <f t="shared" si="0"/>
        <v>-5623.5100500593544</v>
      </c>
      <c r="I7" s="4" t="str">
        <f t="shared" si="1"/>
        <v>Βιοκλιματική</v>
      </c>
    </row>
    <row r="8" spans="1:9" ht="15" customHeight="1" x14ac:dyDescent="0.35">
      <c r="A8" s="4" t="s">
        <v>83</v>
      </c>
      <c r="B8" s="4" t="s">
        <v>93</v>
      </c>
      <c r="C8" s="20">
        <f>Παραδοχές!$B$17</f>
        <v>0.2</v>
      </c>
      <c r="D8" s="21">
        <f>Παραδοχές!$B$22</f>
        <v>0.03</v>
      </c>
      <c r="E8" s="19">
        <f>(1-(1+D8)^-Παραδοχές!$B$7)/D8</f>
        <v>25.729764007008203</v>
      </c>
      <c r="F8" s="11">
        <f>Παραδοχές!$B$12 + ('Ενεργειακή Κατανάλωση'!$B$4*C8)*E8 + Παραδοχές!$B$14*E8</f>
        <v>329046.65307405987</v>
      </c>
      <c r="G8" s="11">
        <f>Παραδοχές!$B$13 + ('Ενεργειακή Κατανάλωση'!$B$5*C8)*E8 + Παραδοχές!$B$15*E8</f>
        <v>323364.43538270658</v>
      </c>
      <c r="H8" s="11">
        <f t="shared" si="0"/>
        <v>-5682.2176913532894</v>
      </c>
      <c r="I8" s="4" t="str">
        <f t="shared" si="1"/>
        <v>Βιοκλιματική</v>
      </c>
    </row>
    <row r="9" spans="1:9" ht="15" customHeight="1" x14ac:dyDescent="0.35">
      <c r="A9" s="4" t="s">
        <v>83</v>
      </c>
      <c r="B9" s="4" t="s">
        <v>94</v>
      </c>
      <c r="C9" s="20">
        <f>Παραδοχές!$B$17</f>
        <v>0.2</v>
      </c>
      <c r="D9" s="21">
        <f>Παραδοχές!$B$21</f>
        <v>0.05</v>
      </c>
      <c r="E9" s="19">
        <f>(1-(1+D9)^-Παραδοχές!$B$7)/D9</f>
        <v>18.255925460552387</v>
      </c>
      <c r="F9" s="11">
        <f>Παραδοχές!$B$12 + ('Ενεργειακή Κατανάλωση'!$B$4*C9)*E9 + Παραδοχές!$B$14*E9</f>
        <v>292723.79773828457</v>
      </c>
      <c r="G9" s="11">
        <f>Παραδοχές!$B$13 + ('Ενεργειακή Κατανάλωση'!$B$5*C9)*E9 + Παραδοχές!$B$15*E9</f>
        <v>299149.19849218975</v>
      </c>
      <c r="H9" s="11">
        <f t="shared" si="0"/>
        <v>6425.4007539051818</v>
      </c>
      <c r="I9" s="4" t="str">
        <f t="shared" si="1"/>
        <v>Συμβατική</v>
      </c>
    </row>
    <row r="10" spans="1:9" ht="15" customHeight="1" x14ac:dyDescent="0.35">
      <c r="A10" s="4" t="s">
        <v>83</v>
      </c>
      <c r="B10" s="4" t="s">
        <v>95</v>
      </c>
      <c r="C10" s="20">
        <f>Παραδοχές!$B$17</f>
        <v>0.2</v>
      </c>
      <c r="D10" s="21">
        <f>Παραδοχές!$B$23</f>
        <v>7.0000000000000007E-2</v>
      </c>
      <c r="E10" s="19">
        <f>(1-(1+D10)^-Παραδοχές!$B$7)/D10</f>
        <v>13.800746294033974</v>
      </c>
      <c r="F10" s="11">
        <f>Παραδοχές!$B$12 + ('Ενεργειακή Κατανάλωση'!$B$4*C10)*E10 + Παραδοχές!$B$14*E10</f>
        <v>271071.62698900513</v>
      </c>
      <c r="G10" s="11">
        <f>Παραδοχές!$B$13 + ('Ενεργειακή Κατανάλωση'!$B$5*C10)*E10 + Παραδοχές!$B$15*E10</f>
        <v>284714.41799267009</v>
      </c>
      <c r="H10" s="11">
        <f t="shared" si="0"/>
        <v>13642.791003664955</v>
      </c>
      <c r="I10" s="4" t="str">
        <f t="shared" si="1"/>
        <v>Συμβατική</v>
      </c>
    </row>
    <row r="13" spans="1:9" ht="15" customHeight="1" x14ac:dyDescent="0.35">
      <c r="A13" s="8" t="s">
        <v>96</v>
      </c>
    </row>
    <row r="14" spans="1:9" ht="54.75" customHeight="1" x14ac:dyDescent="0.35">
      <c r="A14" s="3" t="s">
        <v>81</v>
      </c>
      <c r="B14" s="3" t="s">
        <v>97</v>
      </c>
      <c r="C14" s="3" t="s">
        <v>48</v>
      </c>
      <c r="D14" s="3" t="s">
        <v>49</v>
      </c>
    </row>
    <row r="15" spans="1:9" ht="15" customHeight="1" x14ac:dyDescent="0.35">
      <c r="A15" s="4" t="s">
        <v>98</v>
      </c>
      <c r="B15" s="4" t="s">
        <v>99</v>
      </c>
      <c r="C15" s="5">
        <v>268800</v>
      </c>
      <c r="D15" s="5">
        <v>163200</v>
      </c>
    </row>
    <row r="16" spans="1:9" ht="15" customHeight="1" x14ac:dyDescent="0.35">
      <c r="A16" s="4" t="s">
        <v>100</v>
      </c>
      <c r="B16" s="4" t="s">
        <v>101</v>
      </c>
      <c r="C16" s="11">
        <f>'Dynamic LCA'!C10</f>
        <v>213360</v>
      </c>
      <c r="D16" s="11">
        <f>'Dynamic LCA'!D10</f>
        <v>129540</v>
      </c>
    </row>
    <row r="17" spans="1:4" ht="15" customHeight="1" x14ac:dyDescent="0.35">
      <c r="A17" s="4" t="s">
        <v>102</v>
      </c>
      <c r="B17" s="4" t="s">
        <v>103</v>
      </c>
      <c r="C17" s="5">
        <v>169680</v>
      </c>
      <c r="D17" s="5">
        <v>103020</v>
      </c>
    </row>
    <row r="19" spans="1:4" ht="15" customHeight="1" x14ac:dyDescent="0.35">
      <c r="A19" s="2" t="s">
        <v>104</v>
      </c>
    </row>
    <row r="22" spans="1:4" x14ac:dyDescent="0.35">
      <c r="A22" s="8" t="s">
        <v>151</v>
      </c>
    </row>
    <row r="23" spans="1:4" x14ac:dyDescent="0.35">
      <c r="A23" s="24" t="s">
        <v>81</v>
      </c>
      <c r="B23" s="24" t="s">
        <v>144</v>
      </c>
    </row>
    <row r="24" spans="1:4" x14ac:dyDescent="0.35">
      <c r="A24" s="4" t="s">
        <v>145</v>
      </c>
      <c r="B24" s="11">
        <f t="shared" ref="B24:B29" si="2">F5-G5</f>
        <v>-12449.856155887479</v>
      </c>
    </row>
    <row r="25" spans="1:4" x14ac:dyDescent="0.35">
      <c r="A25" s="4" t="s">
        <v>146</v>
      </c>
      <c r="B25" s="11">
        <f t="shared" si="2"/>
        <v>-6425.4007539051818</v>
      </c>
    </row>
    <row r="26" spans="1:4" x14ac:dyDescent="0.35">
      <c r="A26" s="4" t="s">
        <v>147</v>
      </c>
      <c r="B26" s="11">
        <f t="shared" si="2"/>
        <v>5623.5100500593544</v>
      </c>
    </row>
    <row r="27" spans="1:4" x14ac:dyDescent="0.35">
      <c r="A27" s="4" t="s">
        <v>148</v>
      </c>
      <c r="B27" s="11">
        <f t="shared" si="2"/>
        <v>5682.2176913532894</v>
      </c>
    </row>
    <row r="28" spans="1:4" x14ac:dyDescent="0.35">
      <c r="A28" s="4" t="s">
        <v>149</v>
      </c>
      <c r="B28" s="11">
        <f t="shared" si="2"/>
        <v>-6425.4007539051818</v>
      </c>
    </row>
    <row r="29" spans="1:4" x14ac:dyDescent="0.35">
      <c r="A29" s="4" t="s">
        <v>150</v>
      </c>
      <c r="B29" s="11">
        <f t="shared" si="2"/>
        <v>-13642.791003664955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1"/>
  <sheetViews>
    <sheetView topLeftCell="A10" zoomScaleNormal="100" workbookViewId="0"/>
  </sheetViews>
  <sheetFormatPr defaultColWidth="8.6328125" defaultRowHeight="14.5" x14ac:dyDescent="0.35"/>
  <cols>
    <col min="1" max="1" width="42" customWidth="1"/>
    <col min="2" max="2" width="30" customWidth="1"/>
    <col min="3" max="3" width="22" customWidth="1"/>
    <col min="4" max="5" width="24" customWidth="1"/>
  </cols>
  <sheetData>
    <row r="1" spans="1:5" ht="15.75" customHeight="1" x14ac:dyDescent="0.35">
      <c r="A1" s="1" t="s">
        <v>105</v>
      </c>
    </row>
    <row r="2" spans="1:5" ht="15" customHeight="1" x14ac:dyDescent="0.35">
      <c r="A2" s="2" t="s">
        <v>106</v>
      </c>
    </row>
    <row r="4" spans="1:5" ht="27.75" customHeight="1" x14ac:dyDescent="0.35">
      <c r="A4" s="3" t="s">
        <v>107</v>
      </c>
      <c r="B4" s="3" t="s">
        <v>108</v>
      </c>
      <c r="C4" s="3" t="s">
        <v>109</v>
      </c>
      <c r="D4" s="3" t="s">
        <v>88</v>
      </c>
    </row>
    <row r="5" spans="1:5" ht="15" customHeight="1" x14ac:dyDescent="0.35">
      <c r="A5" s="4" t="s">
        <v>110</v>
      </c>
      <c r="B5" s="6">
        <v>2</v>
      </c>
      <c r="C5" s="6">
        <v>5</v>
      </c>
      <c r="D5" s="4" t="str">
        <f t="shared" ref="D5:D11" si="0">IF(C5&gt;B5,"Βιοκλιματική",IF(C5&lt;B5,"Συμβατική","Ίδια"))</f>
        <v>Βιοκλιματική</v>
      </c>
    </row>
    <row r="6" spans="1:5" ht="15" customHeight="1" x14ac:dyDescent="0.35">
      <c r="A6" s="4" t="s">
        <v>111</v>
      </c>
      <c r="B6" s="6">
        <v>2</v>
      </c>
      <c r="C6" s="6">
        <v>4</v>
      </c>
      <c r="D6" s="4" t="str">
        <f t="shared" si="0"/>
        <v>Βιοκλιματική</v>
      </c>
    </row>
    <row r="7" spans="1:5" ht="15" customHeight="1" x14ac:dyDescent="0.35">
      <c r="A7" s="4" t="s">
        <v>112</v>
      </c>
      <c r="B7" s="6">
        <v>2</v>
      </c>
      <c r="C7" s="6">
        <v>5</v>
      </c>
      <c r="D7" s="4" t="str">
        <f t="shared" si="0"/>
        <v>Βιοκλιματική</v>
      </c>
    </row>
    <row r="8" spans="1:5" ht="15" customHeight="1" x14ac:dyDescent="0.35">
      <c r="A8" s="4" t="s">
        <v>113</v>
      </c>
      <c r="B8" s="6">
        <v>2</v>
      </c>
      <c r="C8" s="6">
        <v>4</v>
      </c>
      <c r="D8" s="4" t="str">
        <f t="shared" si="0"/>
        <v>Βιοκλιματική</v>
      </c>
    </row>
    <row r="9" spans="1:5" ht="15" customHeight="1" x14ac:dyDescent="0.35">
      <c r="A9" s="4" t="s">
        <v>114</v>
      </c>
      <c r="B9" s="6">
        <v>3</v>
      </c>
      <c r="C9" s="6">
        <v>4</v>
      </c>
      <c r="D9" s="4" t="str">
        <f t="shared" si="0"/>
        <v>Βιοκλιματική</v>
      </c>
    </row>
    <row r="10" spans="1:5" ht="15" customHeight="1" x14ac:dyDescent="0.35">
      <c r="A10" s="4" t="s">
        <v>115</v>
      </c>
      <c r="B10" s="6">
        <v>2</v>
      </c>
      <c r="C10" s="6">
        <v>5</v>
      </c>
      <c r="D10" s="4" t="str">
        <f t="shared" si="0"/>
        <v>Βιοκλιματική</v>
      </c>
    </row>
    <row r="11" spans="1:5" ht="15" customHeight="1" x14ac:dyDescent="0.35">
      <c r="A11" s="4" t="s">
        <v>116</v>
      </c>
      <c r="B11" s="6">
        <v>2</v>
      </c>
      <c r="C11" s="6">
        <v>4</v>
      </c>
      <c r="D11" s="4" t="str">
        <f t="shared" si="0"/>
        <v>Βιοκλιματική</v>
      </c>
    </row>
    <row r="12" spans="1:5" ht="15" customHeight="1" x14ac:dyDescent="0.35">
      <c r="A12" s="14" t="s">
        <v>117</v>
      </c>
      <c r="B12" s="22">
        <f>AVERAGE(B5:B11)</f>
        <v>2.1428571428571428</v>
      </c>
      <c r="C12" s="22">
        <f>AVERAGE(C5:C11)</f>
        <v>4.4285714285714288</v>
      </c>
      <c r="D12" s="14" t="str">
        <f>IF(C12&gt;B12,"Βιοκλιματική","Συμβατική")</f>
        <v>Βιοκλιματική</v>
      </c>
    </row>
    <row r="15" spans="1:5" ht="15" customHeight="1" x14ac:dyDescent="0.35">
      <c r="A15" s="8" t="s">
        <v>118</v>
      </c>
    </row>
    <row r="16" spans="1:5" ht="27.75" customHeight="1" x14ac:dyDescent="0.35">
      <c r="A16" s="3" t="s">
        <v>119</v>
      </c>
      <c r="B16" s="3" t="s">
        <v>120</v>
      </c>
      <c r="C16" s="3" t="s">
        <v>41</v>
      </c>
      <c r="D16" s="3" t="s">
        <v>42</v>
      </c>
      <c r="E16" s="3" t="s">
        <v>88</v>
      </c>
    </row>
    <row r="17" spans="1:5" ht="15" customHeight="1" x14ac:dyDescent="0.35">
      <c r="A17" s="4" t="s">
        <v>121</v>
      </c>
      <c r="B17" s="4" t="s">
        <v>122</v>
      </c>
      <c r="C17" s="4" t="str">
        <f>'Dynamic LCA'!C10&amp;" kg CO2"</f>
        <v>213360 kg CO2</v>
      </c>
      <c r="D17" s="4" t="str">
        <f>'Dynamic LCA'!D10&amp;" kg CO2"</f>
        <v>129540 kg CO2</v>
      </c>
      <c r="E17" s="4" t="s">
        <v>123</v>
      </c>
    </row>
    <row r="18" spans="1:5" ht="15" customHeight="1" x14ac:dyDescent="0.35">
      <c r="A18" s="4" t="s">
        <v>121</v>
      </c>
      <c r="B18" s="4" t="s">
        <v>124</v>
      </c>
      <c r="C18" s="4" t="str">
        <f>'Ενεργειακή Κατανάλωση'!D4&amp;" kWh"</f>
        <v>840000 kWh</v>
      </c>
      <c r="D18" s="4" t="str">
        <f>'Ενεργειακή Κατανάλωση'!D5&amp;" kWh"</f>
        <v>510000 kWh</v>
      </c>
      <c r="E18" s="4" t="s">
        <v>123</v>
      </c>
    </row>
    <row r="19" spans="1:5" ht="15" customHeight="1" x14ac:dyDescent="0.35">
      <c r="A19" s="4" t="s">
        <v>125</v>
      </c>
      <c r="B19" s="4" t="s">
        <v>126</v>
      </c>
      <c r="C19" s="4" t="str">
        <f>'LCC (Ονομαστικό)'!B9&amp;" EUR"</f>
        <v>447000 EUR</v>
      </c>
      <c r="D19" s="4" t="str">
        <f>'LCC (Ονομαστικό)'!C9&amp;" EUR"</f>
        <v>402000 EUR</v>
      </c>
      <c r="E19" s="4" t="s">
        <v>123</v>
      </c>
    </row>
    <row r="20" spans="1:5" ht="15" customHeight="1" x14ac:dyDescent="0.35">
      <c r="A20" s="4" t="s">
        <v>125</v>
      </c>
      <c r="B20" s="4" t="s">
        <v>127</v>
      </c>
      <c r="C20" s="4" t="str">
        <f>'NPV (5%)'!B11&amp;" EUR"</f>
        <v>292723,797738285 EUR</v>
      </c>
      <c r="D20" s="4" t="str">
        <f>'NPV (5%)'!C11&amp;" EUR"</f>
        <v>299149,19849219 EUR</v>
      </c>
      <c r="E20" s="4" t="s">
        <v>128</v>
      </c>
    </row>
    <row r="21" spans="1:5" ht="15" customHeight="1" x14ac:dyDescent="0.35">
      <c r="A21" s="4" t="s">
        <v>129</v>
      </c>
      <c r="B21" s="4" t="s">
        <v>130</v>
      </c>
      <c r="C21" s="23">
        <f>B12</f>
        <v>2.1428571428571428</v>
      </c>
      <c r="D21" s="23">
        <f>C12</f>
        <v>4.4285714285714288</v>
      </c>
      <c r="E21" s="4" t="s">
        <v>123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topLeftCell="A19" zoomScaleNormal="100" workbookViewId="0">
      <selection activeCell="C9" sqref="C9"/>
    </sheetView>
  </sheetViews>
  <sheetFormatPr defaultColWidth="8.6328125" defaultRowHeight="14.5" x14ac:dyDescent="0.35"/>
  <cols>
    <col min="1" max="1" width="34" customWidth="1"/>
    <col min="2" max="3" width="20" customWidth="1"/>
  </cols>
  <sheetData>
    <row r="1" spans="1:2" ht="16.149999999999999" customHeight="1" x14ac:dyDescent="0.35">
      <c r="A1" s="1" t="s">
        <v>131</v>
      </c>
    </row>
    <row r="3" spans="1:2" ht="15" customHeight="1" x14ac:dyDescent="0.35">
      <c r="A3" s="8" t="s">
        <v>134</v>
      </c>
    </row>
    <row r="4" spans="1:2" ht="55.25" customHeight="1" x14ac:dyDescent="0.35">
      <c r="A4" s="3" t="s">
        <v>37</v>
      </c>
      <c r="B4" s="3" t="s">
        <v>132</v>
      </c>
    </row>
    <row r="5" spans="1:2" ht="15" customHeight="1" x14ac:dyDescent="0.35">
      <c r="A5" s="4" t="s">
        <v>133</v>
      </c>
      <c r="B5" s="11">
        <f>'Ενεργειακή Κατανάλωση'!D4</f>
        <v>840000</v>
      </c>
    </row>
    <row r="6" spans="1:2" ht="15" customHeight="1" x14ac:dyDescent="0.35">
      <c r="A6" s="4" t="s">
        <v>123</v>
      </c>
      <c r="B6" s="11">
        <f>'Ενεργειακή Κατανάλωση'!D5</f>
        <v>510000</v>
      </c>
    </row>
    <row r="8" spans="1:2" ht="15" customHeight="1" x14ac:dyDescent="0.35">
      <c r="A8" s="8" t="s">
        <v>136</v>
      </c>
    </row>
    <row r="9" spans="1:2" ht="41.75" customHeight="1" x14ac:dyDescent="0.35">
      <c r="A9" s="3" t="s">
        <v>37</v>
      </c>
      <c r="B9" s="3" t="s">
        <v>135</v>
      </c>
    </row>
    <row r="10" spans="1:2" ht="15" customHeight="1" x14ac:dyDescent="0.35">
      <c r="A10" s="4" t="s">
        <v>133</v>
      </c>
      <c r="B10" s="11">
        <f>'Dynamic LCA'!C10</f>
        <v>213360</v>
      </c>
    </row>
    <row r="11" spans="1:2" ht="15" customHeight="1" x14ac:dyDescent="0.35">
      <c r="A11" s="4" t="s">
        <v>123</v>
      </c>
      <c r="B11" s="11">
        <f>'Dynamic LCA'!D10</f>
        <v>129540</v>
      </c>
    </row>
    <row r="13" spans="1:2" ht="15" customHeight="1" x14ac:dyDescent="0.35">
      <c r="A13" s="8" t="s">
        <v>142</v>
      </c>
    </row>
    <row r="14" spans="1:2" ht="41.75" customHeight="1" x14ac:dyDescent="0.35">
      <c r="A14" s="3" t="s">
        <v>37</v>
      </c>
      <c r="B14" s="3" t="s">
        <v>137</v>
      </c>
    </row>
    <row r="15" spans="1:2" ht="15" customHeight="1" x14ac:dyDescent="0.35">
      <c r="A15" s="4" t="s">
        <v>133</v>
      </c>
      <c r="B15" s="11">
        <f>'LCC (Ονομαστικό)'!B9</f>
        <v>447000</v>
      </c>
    </row>
    <row r="16" spans="1:2" ht="15" customHeight="1" x14ac:dyDescent="0.35">
      <c r="A16" s="4" t="s">
        <v>123</v>
      </c>
      <c r="B16" s="11">
        <f>'LCC (Ονομαστικό)'!C9</f>
        <v>402000</v>
      </c>
    </row>
    <row r="18" spans="1:3" ht="15" customHeight="1" x14ac:dyDescent="0.35">
      <c r="A18" s="8" t="s">
        <v>143</v>
      </c>
    </row>
    <row r="19" spans="1:3" ht="15" customHeight="1" x14ac:dyDescent="0.35">
      <c r="A19" s="3" t="s">
        <v>119</v>
      </c>
      <c r="B19" s="3" t="s">
        <v>133</v>
      </c>
      <c r="C19" s="3" t="s">
        <v>123</v>
      </c>
    </row>
    <row r="20" spans="1:3" ht="15" customHeight="1" x14ac:dyDescent="0.35">
      <c r="A20" s="4" t="s">
        <v>138</v>
      </c>
      <c r="B20" s="23">
        <f>MIN(B5:B6)/B5*100</f>
        <v>60.714285714285708</v>
      </c>
      <c r="C20" s="23">
        <f>MIN(B5:B6)/B6*100</f>
        <v>100</v>
      </c>
    </row>
    <row r="21" spans="1:3" ht="15" customHeight="1" x14ac:dyDescent="0.35">
      <c r="A21" s="4" t="s">
        <v>139</v>
      </c>
      <c r="B21" s="23">
        <f>MIN(B10:B11)/B10*100</f>
        <v>60.714285714285708</v>
      </c>
      <c r="C21" s="23">
        <f>MIN(B10:B11)/B11*100</f>
        <v>100</v>
      </c>
    </row>
    <row r="22" spans="1:3" ht="15" customHeight="1" x14ac:dyDescent="0.35">
      <c r="A22" s="4" t="s">
        <v>140</v>
      </c>
      <c r="B22" s="23">
        <f>MIN(B15:B16)/B15*100</f>
        <v>89.932885906040269</v>
      </c>
      <c r="C22" s="23">
        <f>MIN(B15:B16)/B16*100</f>
        <v>100</v>
      </c>
    </row>
    <row r="23" spans="1:3" ht="15" customHeight="1" x14ac:dyDescent="0.35">
      <c r="A23" s="4" t="s">
        <v>141</v>
      </c>
      <c r="B23" s="23">
        <f>'LCSA - S-LCA'!B12*20</f>
        <v>42.857142857142854</v>
      </c>
      <c r="C23" s="23">
        <f>'LCSA - S-LCA'!C12*20</f>
        <v>88.571428571428584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Παραδοχές</vt:lpstr>
      <vt:lpstr>Ενεργειακή Κατανάλωση</vt:lpstr>
      <vt:lpstr>Dynamic LCA</vt:lpstr>
      <vt:lpstr>LCC (Ονομαστικό)</vt:lpstr>
      <vt:lpstr>NPV (5%)</vt:lpstr>
      <vt:lpstr>Ανάλυση Ευαισθησίας</vt:lpstr>
      <vt:lpstr>LCSA - S-LCA</vt:lpstr>
      <vt:lpstr>Διαγράμματα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eleni maggana</cp:lastModifiedBy>
  <cp:revision>0</cp:revision>
  <dcterms:created xsi:type="dcterms:W3CDTF">2026-07-05T10:41:13Z</dcterms:created>
  <dcterms:modified xsi:type="dcterms:W3CDTF">2026-07-05T17:25:33Z</dcterms:modified>
  <dc:language>en-US</dc:language>
</cp:coreProperties>
</file>