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ESKNET\ΠΤΥΧΙΑΚΗ\"/>
    </mc:Choice>
  </mc:AlternateContent>
  <xr:revisionPtr revIDLastSave="0" documentId="13_ncr:1_{22C727BF-D3AA-4D16-AF66-630DCDF41772}" xr6:coauthVersionLast="47" xr6:coauthVersionMax="47" xr10:uidLastSave="{00000000-0000-0000-0000-000000000000}"/>
  <bookViews>
    <workbookView xWindow="-108" yWindow="-108" windowWidth="23256" windowHeight="12576" activeTab="1" xr2:uid="{737B7FAB-A9A9-42D8-87C0-2624848DBEDF}"/>
  </bookViews>
  <sheets>
    <sheet name="ΚΕΦΑΛΑΙΟ 1" sheetId="1" r:id="rId1"/>
    <sheet name="ΚΕΦΑΛΑΙΟ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2" l="1"/>
  <c r="E117" i="2"/>
  <c r="F117" i="2"/>
  <c r="G117" i="2"/>
  <c r="K117" i="2" s="1"/>
  <c r="H117" i="2"/>
  <c r="I117" i="2"/>
  <c r="C117" i="2"/>
  <c r="J117" i="2" s="1"/>
  <c r="D110" i="2" l="1"/>
  <c r="E110" i="2"/>
  <c r="F110" i="2"/>
  <c r="G110" i="2"/>
  <c r="K110" i="2" s="1"/>
  <c r="H110" i="2"/>
  <c r="I110" i="2"/>
  <c r="C110" i="2"/>
  <c r="J110" i="2" s="1"/>
  <c r="D97" i="2"/>
  <c r="E97" i="2"/>
  <c r="F97" i="2"/>
  <c r="G97" i="2"/>
  <c r="H97" i="2"/>
  <c r="I97" i="2"/>
  <c r="C97" i="2"/>
  <c r="D70" i="2"/>
  <c r="D119" i="2" s="1"/>
  <c r="E70" i="2"/>
  <c r="E119" i="2" s="1"/>
  <c r="F70" i="2"/>
  <c r="F119" i="2" s="1"/>
  <c r="G70" i="2"/>
  <c r="G119" i="2" s="1"/>
  <c r="H70" i="2"/>
  <c r="H119" i="2" s="1"/>
  <c r="I70" i="2"/>
  <c r="I119" i="2" s="1"/>
  <c r="C70" i="2"/>
  <c r="C119" i="2" s="1"/>
  <c r="I84" i="2"/>
  <c r="D84" i="2"/>
  <c r="E84" i="2"/>
  <c r="F84" i="2"/>
  <c r="G84" i="2"/>
  <c r="H84" i="2"/>
  <c r="C84" i="2"/>
  <c r="I104" i="2"/>
  <c r="H104" i="2"/>
  <c r="G104" i="2"/>
  <c r="F104" i="2"/>
  <c r="E104" i="2"/>
  <c r="D104" i="2"/>
  <c r="C104" i="2"/>
  <c r="I90" i="2"/>
  <c r="H90" i="2"/>
  <c r="G90" i="2"/>
  <c r="F90" i="2"/>
  <c r="E90" i="2"/>
  <c r="D90" i="2"/>
  <c r="C90" i="2"/>
  <c r="I74" i="2"/>
  <c r="I92" i="2" s="1"/>
  <c r="I94" i="2" s="1"/>
  <c r="H74" i="2"/>
  <c r="H92" i="2" s="1"/>
  <c r="H94" i="2" s="1"/>
  <c r="G74" i="2"/>
  <c r="G92" i="2" s="1"/>
  <c r="G94" i="2" s="1"/>
  <c r="F74" i="2"/>
  <c r="F85" i="2" s="1"/>
  <c r="F89" i="2" s="1"/>
  <c r="E74" i="2"/>
  <c r="E85" i="2" s="1"/>
  <c r="E115" i="2" s="1"/>
  <c r="D74" i="2"/>
  <c r="D85" i="2" s="1"/>
  <c r="D115" i="2" s="1"/>
  <c r="C74" i="2"/>
  <c r="C85" i="2" s="1"/>
  <c r="C115" i="2" s="1"/>
  <c r="I72" i="2"/>
  <c r="I75" i="2" s="1"/>
  <c r="H72" i="2"/>
  <c r="H75" i="2" s="1"/>
  <c r="H78" i="2" s="1"/>
  <c r="H79" i="2" s="1"/>
  <c r="I66" i="2"/>
  <c r="I99" i="2" s="1"/>
  <c r="H66" i="2"/>
  <c r="H99" i="2" s="1"/>
  <c r="G66" i="2"/>
  <c r="G99" i="2" s="1"/>
  <c r="F66" i="2"/>
  <c r="F99" i="2" s="1"/>
  <c r="E66" i="2"/>
  <c r="E99" i="2" s="1"/>
  <c r="D66" i="2"/>
  <c r="D99" i="2" s="1"/>
  <c r="C66" i="2"/>
  <c r="C99" i="2" s="1"/>
  <c r="I65" i="2"/>
  <c r="I71" i="2" s="1"/>
  <c r="H65" i="2"/>
  <c r="H71" i="2" s="1"/>
  <c r="G65" i="2"/>
  <c r="G71" i="2" s="1"/>
  <c r="F65" i="2"/>
  <c r="F71" i="2" s="1"/>
  <c r="E65" i="2"/>
  <c r="E71" i="2" s="1"/>
  <c r="D65" i="2"/>
  <c r="C65" i="2"/>
  <c r="C71" i="2" s="1"/>
  <c r="I58" i="2"/>
  <c r="I61" i="2" s="1"/>
  <c r="I63" i="2" s="1"/>
  <c r="I64" i="2" s="1"/>
  <c r="H58" i="2"/>
  <c r="H61" i="2" s="1"/>
  <c r="H63" i="2" s="1"/>
  <c r="H64" i="2" s="1"/>
  <c r="G58" i="2"/>
  <c r="G61" i="2" s="1"/>
  <c r="G63" i="2" s="1"/>
  <c r="G64" i="2" s="1"/>
  <c r="F58" i="2"/>
  <c r="F61" i="2" s="1"/>
  <c r="F63" i="2" s="1"/>
  <c r="F64" i="2" s="1"/>
  <c r="E58" i="2"/>
  <c r="E61" i="2" s="1"/>
  <c r="E63" i="2" s="1"/>
  <c r="E64" i="2" s="1"/>
  <c r="D58" i="2"/>
  <c r="D61" i="2" s="1"/>
  <c r="D63" i="2" s="1"/>
  <c r="D64" i="2" s="1"/>
  <c r="C58" i="2"/>
  <c r="C61" i="2" s="1"/>
  <c r="C63" i="2" s="1"/>
  <c r="C64" i="2" s="1"/>
  <c r="I54" i="2"/>
  <c r="I55" i="2" s="1"/>
  <c r="H54" i="2"/>
  <c r="H55" i="2" s="1"/>
  <c r="G54" i="2"/>
  <c r="F54" i="2"/>
  <c r="E54" i="2"/>
  <c r="D54" i="2"/>
  <c r="C54" i="2"/>
  <c r="G53" i="2"/>
  <c r="F53" i="2"/>
  <c r="F72" i="2" s="1"/>
  <c r="F75" i="2" s="1"/>
  <c r="F78" i="2" s="1"/>
  <c r="F79" i="2" s="1"/>
  <c r="E53" i="2"/>
  <c r="E72" i="2" s="1"/>
  <c r="E75" i="2" s="1"/>
  <c r="E78" i="2" s="1"/>
  <c r="E79" i="2" s="1"/>
  <c r="D53" i="2"/>
  <c r="D72" i="2" s="1"/>
  <c r="D75" i="2" s="1"/>
  <c r="D78" i="2" s="1"/>
  <c r="D79" i="2" s="1"/>
  <c r="C53" i="2"/>
  <c r="C72" i="2" s="1"/>
  <c r="C75" i="2" s="1"/>
  <c r="I49" i="2"/>
  <c r="I50" i="2" s="1"/>
  <c r="H49" i="2"/>
  <c r="H50" i="2" s="1"/>
  <c r="G49" i="2"/>
  <c r="G50" i="2" s="1"/>
  <c r="F49" i="2"/>
  <c r="F50" i="2" s="1"/>
  <c r="E49" i="2"/>
  <c r="E50" i="2" s="1"/>
  <c r="D49" i="2"/>
  <c r="D50" i="2" s="1"/>
  <c r="C49" i="2"/>
  <c r="C50" i="2" s="1"/>
  <c r="I44" i="2"/>
  <c r="H44" i="2"/>
  <c r="G44" i="2"/>
  <c r="F44" i="2"/>
  <c r="E44" i="2"/>
  <c r="D44" i="2"/>
  <c r="C44" i="2"/>
  <c r="I39" i="2"/>
  <c r="I40" i="2" s="1"/>
  <c r="I41" i="2" s="1"/>
  <c r="H39" i="2"/>
  <c r="H40" i="2" s="1"/>
  <c r="H41" i="2" s="1"/>
  <c r="G39" i="2"/>
  <c r="G40" i="2" s="1"/>
  <c r="F39" i="2"/>
  <c r="F40" i="2" s="1"/>
  <c r="F41" i="2" s="1"/>
  <c r="E39" i="2"/>
  <c r="E40" i="2" s="1"/>
  <c r="E41" i="2" s="1"/>
  <c r="D39" i="2"/>
  <c r="D40" i="2" s="1"/>
  <c r="D41" i="2" s="1"/>
  <c r="C39" i="2"/>
  <c r="C40" i="2" s="1"/>
  <c r="I33" i="2"/>
  <c r="H33" i="2"/>
  <c r="G33" i="2"/>
  <c r="F33" i="2"/>
  <c r="E33" i="2"/>
  <c r="D33" i="2"/>
  <c r="C33" i="2"/>
  <c r="I32" i="2"/>
  <c r="H32" i="2"/>
  <c r="G32" i="2"/>
  <c r="F32" i="2"/>
  <c r="E32" i="2"/>
  <c r="D32" i="2"/>
  <c r="C32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5" i="2"/>
  <c r="I86" i="2" s="1"/>
  <c r="H25" i="2"/>
  <c r="H30" i="2" s="1"/>
  <c r="G25" i="2"/>
  <c r="G30" i="2" s="1"/>
  <c r="F25" i="2"/>
  <c r="F86" i="2" s="1"/>
  <c r="E25" i="2"/>
  <c r="E86" i="2" s="1"/>
  <c r="D25" i="2"/>
  <c r="D86" i="2" s="1"/>
  <c r="C25" i="2"/>
  <c r="C86" i="2" s="1"/>
  <c r="I19" i="2"/>
  <c r="H19" i="2"/>
  <c r="G19" i="2"/>
  <c r="F19" i="2"/>
  <c r="E19" i="2"/>
  <c r="D19" i="2"/>
  <c r="C19" i="2"/>
  <c r="I15" i="2"/>
  <c r="H15" i="2"/>
  <c r="G15" i="2"/>
  <c r="F15" i="2"/>
  <c r="E15" i="2"/>
  <c r="D15" i="2"/>
  <c r="I14" i="2"/>
  <c r="E14" i="2"/>
  <c r="I13" i="2"/>
  <c r="H13" i="2"/>
  <c r="H16" i="2" s="1"/>
  <c r="G13" i="2"/>
  <c r="G16" i="2" s="1"/>
  <c r="F13" i="2"/>
  <c r="F16" i="2" s="1"/>
  <c r="E13" i="2"/>
  <c r="D13" i="2"/>
  <c r="D16" i="2" s="1"/>
  <c r="C13" i="2"/>
  <c r="C16" i="2" s="1"/>
  <c r="I12" i="2"/>
  <c r="H12" i="2"/>
  <c r="G12" i="2"/>
  <c r="F12" i="2"/>
  <c r="E12" i="2"/>
  <c r="D12" i="2"/>
  <c r="C12" i="2"/>
  <c r="I10" i="2"/>
  <c r="H10" i="2"/>
  <c r="G10" i="2"/>
  <c r="F10" i="2"/>
  <c r="E10" i="2"/>
  <c r="D10" i="2"/>
  <c r="C10" i="2"/>
  <c r="I6" i="2"/>
  <c r="I7" i="2" s="1"/>
  <c r="H6" i="2"/>
  <c r="H7" i="2" s="1"/>
  <c r="G6" i="2"/>
  <c r="F6" i="2"/>
  <c r="E6" i="2"/>
  <c r="D6" i="2"/>
  <c r="D7" i="2" s="1"/>
  <c r="C6" i="2"/>
  <c r="C7" i="2" s="1"/>
  <c r="I4" i="2"/>
  <c r="H4" i="2"/>
  <c r="G4" i="2"/>
  <c r="F4" i="2"/>
  <c r="E4" i="2"/>
  <c r="D4" i="2"/>
  <c r="C4" i="2"/>
  <c r="D153" i="1"/>
  <c r="D152" i="1"/>
  <c r="D149" i="1"/>
  <c r="D148" i="1"/>
  <c r="E75" i="1"/>
  <c r="E74" i="1"/>
  <c r="E73" i="1"/>
  <c r="D73" i="1"/>
  <c r="E7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H52" i="1"/>
  <c r="G52" i="1"/>
  <c r="F52" i="1"/>
  <c r="E52" i="1"/>
  <c r="D52" i="1"/>
  <c r="H51" i="1"/>
  <c r="G51" i="1"/>
  <c r="F51" i="1"/>
  <c r="E51" i="1"/>
  <c r="D51" i="1"/>
  <c r="H50" i="1"/>
  <c r="G50" i="1"/>
  <c r="F50" i="1"/>
  <c r="E50" i="1"/>
  <c r="D50" i="1"/>
  <c r="H49" i="1"/>
  <c r="G49" i="1"/>
  <c r="F49" i="1"/>
  <c r="E49" i="1"/>
  <c r="D49" i="1"/>
  <c r="H48" i="1"/>
  <c r="G48" i="1"/>
  <c r="F48" i="1"/>
  <c r="E48" i="1"/>
  <c r="D48" i="1"/>
  <c r="H47" i="1"/>
  <c r="G47" i="1"/>
  <c r="F47" i="1"/>
  <c r="E47" i="1"/>
  <c r="D47" i="1"/>
  <c r="H46" i="1"/>
  <c r="G46" i="1"/>
  <c r="F46" i="1"/>
  <c r="E46" i="1"/>
  <c r="D46" i="1"/>
  <c r="H43" i="1"/>
  <c r="G43" i="1"/>
  <c r="F43" i="1"/>
  <c r="E43" i="1"/>
  <c r="D43" i="1"/>
  <c r="H42" i="1"/>
  <c r="G42" i="1"/>
  <c r="F42" i="1"/>
  <c r="E42" i="1"/>
  <c r="D42" i="1"/>
  <c r="H41" i="1"/>
  <c r="G41" i="1"/>
  <c r="F41" i="1"/>
  <c r="E41" i="1"/>
  <c r="D41" i="1"/>
  <c r="H40" i="1"/>
  <c r="G40" i="1"/>
  <c r="F40" i="1"/>
  <c r="E40" i="1"/>
  <c r="D40" i="1"/>
  <c r="H39" i="1"/>
  <c r="G39" i="1"/>
  <c r="F39" i="1"/>
  <c r="E39" i="1"/>
  <c r="D39" i="1"/>
  <c r="H38" i="1"/>
  <c r="G38" i="1"/>
  <c r="F38" i="1"/>
  <c r="E38" i="1"/>
  <c r="D38" i="1"/>
  <c r="H37" i="1"/>
  <c r="G37" i="1"/>
  <c r="F37" i="1"/>
  <c r="E37" i="1"/>
  <c r="D37" i="1"/>
  <c r="J34" i="1"/>
  <c r="H34" i="1"/>
  <c r="J33" i="1"/>
  <c r="H33" i="1"/>
  <c r="M32" i="1"/>
  <c r="J32" i="1"/>
  <c r="H32" i="1"/>
  <c r="M31" i="1"/>
  <c r="J31" i="1"/>
  <c r="H31" i="1"/>
  <c r="M30" i="1"/>
  <c r="J30" i="1"/>
  <c r="H30" i="1"/>
  <c r="M29" i="1"/>
  <c r="J29" i="1"/>
  <c r="H29" i="1"/>
  <c r="M28" i="1"/>
  <c r="H28" i="1"/>
  <c r="P22" i="1"/>
  <c r="N22" i="1"/>
  <c r="H22" i="1"/>
  <c r="P21" i="1"/>
  <c r="N21" i="1"/>
  <c r="H21" i="1"/>
  <c r="P20" i="1"/>
  <c r="N20" i="1"/>
  <c r="H20" i="1"/>
  <c r="P19" i="1"/>
  <c r="N19" i="1"/>
  <c r="H19" i="1"/>
  <c r="P18" i="1"/>
  <c r="N18" i="1"/>
  <c r="H18" i="1"/>
  <c r="AB17" i="1"/>
  <c r="Z17" i="1"/>
  <c r="Y17" i="1"/>
  <c r="P17" i="1"/>
  <c r="N17" i="1"/>
  <c r="H17" i="1"/>
  <c r="AA16" i="1"/>
  <c r="Z16" i="1"/>
  <c r="P16" i="1"/>
  <c r="N16" i="1"/>
  <c r="H16" i="1"/>
  <c r="F10" i="1"/>
  <c r="F115" i="2" l="1"/>
  <c r="J115" i="2" s="1"/>
  <c r="J119" i="2"/>
  <c r="K119" i="2"/>
  <c r="G26" i="2"/>
  <c r="G27" i="2" s="1"/>
  <c r="D67" i="2"/>
  <c r="D112" i="2" s="1"/>
  <c r="J97" i="2"/>
  <c r="J70" i="2"/>
  <c r="J19" i="2"/>
  <c r="K97" i="2"/>
  <c r="K70" i="2"/>
  <c r="J84" i="2"/>
  <c r="I16" i="2"/>
  <c r="K16" i="2" s="1"/>
  <c r="K84" i="2"/>
  <c r="J12" i="2"/>
  <c r="H85" i="2"/>
  <c r="D34" i="2"/>
  <c r="D35" i="2" s="1"/>
  <c r="D36" i="2" s="1"/>
  <c r="D51" i="2" s="1"/>
  <c r="E73" i="2"/>
  <c r="K12" i="2"/>
  <c r="K4" i="2"/>
  <c r="I26" i="2"/>
  <c r="I27" i="2" s="1"/>
  <c r="G55" i="2"/>
  <c r="K55" i="2" s="1"/>
  <c r="E55" i="2"/>
  <c r="C59" i="2"/>
  <c r="F42" i="2"/>
  <c r="F45" i="2" s="1"/>
  <c r="F46" i="2" s="1"/>
  <c r="D59" i="2"/>
  <c r="E67" i="2"/>
  <c r="E112" i="2" s="1"/>
  <c r="J4" i="2"/>
  <c r="E59" i="2"/>
  <c r="F67" i="2"/>
  <c r="F112" i="2" s="1"/>
  <c r="I30" i="2"/>
  <c r="I31" i="2" s="1"/>
  <c r="J10" i="2"/>
  <c r="G31" i="2"/>
  <c r="F108" i="2"/>
  <c r="F109" i="2" s="1"/>
  <c r="F73" i="2"/>
  <c r="C102" i="2"/>
  <c r="C100" i="2"/>
  <c r="C114" i="2" s="1"/>
  <c r="E16" i="2"/>
  <c r="J16" i="2" s="1"/>
  <c r="D42" i="2"/>
  <c r="D45" i="2" s="1"/>
  <c r="D46" i="2" s="1"/>
  <c r="G86" i="2"/>
  <c r="E42" i="2"/>
  <c r="E45" i="2" s="1"/>
  <c r="E46" i="2" s="1"/>
  <c r="H86" i="2"/>
  <c r="J50" i="2"/>
  <c r="G67" i="2"/>
  <c r="K19" i="2"/>
  <c r="G42" i="2"/>
  <c r="G45" i="2" s="1"/>
  <c r="G46" i="2" s="1"/>
  <c r="D71" i="2"/>
  <c r="D73" i="2" s="1"/>
  <c r="K10" i="2"/>
  <c r="H42" i="2"/>
  <c r="H45" i="2" s="1"/>
  <c r="H46" i="2" s="1"/>
  <c r="F55" i="2"/>
  <c r="H76" i="2"/>
  <c r="C92" i="2"/>
  <c r="C94" i="2" s="1"/>
  <c r="C55" i="2"/>
  <c r="F91" i="2"/>
  <c r="F113" i="2" s="1"/>
  <c r="H26" i="2"/>
  <c r="H27" i="2" s="1"/>
  <c r="H31" i="2"/>
  <c r="C34" i="2"/>
  <c r="C35" i="2" s="1"/>
  <c r="C36" i="2" s="1"/>
  <c r="D55" i="2"/>
  <c r="F76" i="2"/>
  <c r="G85" i="2"/>
  <c r="G115" i="2" s="1"/>
  <c r="H108" i="2"/>
  <c r="H109" i="2" s="1"/>
  <c r="H73" i="2"/>
  <c r="I102" i="2"/>
  <c r="I118" i="2" s="1"/>
  <c r="I100" i="2"/>
  <c r="I114" i="2" s="1"/>
  <c r="K94" i="2"/>
  <c r="J64" i="2"/>
  <c r="I108" i="2"/>
  <c r="I109" i="2" s="1"/>
  <c r="I73" i="2"/>
  <c r="C78" i="2"/>
  <c r="C79" i="2" s="1"/>
  <c r="J79" i="2" s="1"/>
  <c r="C76" i="2"/>
  <c r="C108" i="2"/>
  <c r="C109" i="2" s="1"/>
  <c r="C73" i="2"/>
  <c r="D100" i="2"/>
  <c r="D114" i="2" s="1"/>
  <c r="D102" i="2"/>
  <c r="D118" i="2" s="1"/>
  <c r="G41" i="2"/>
  <c r="K41" i="2" s="1"/>
  <c r="K40" i="2"/>
  <c r="E102" i="2"/>
  <c r="E118" i="2" s="1"/>
  <c r="E100" i="2"/>
  <c r="E114" i="2" s="1"/>
  <c r="C89" i="2"/>
  <c r="C91" i="2" s="1"/>
  <c r="C113" i="2" s="1"/>
  <c r="C88" i="2"/>
  <c r="K50" i="2"/>
  <c r="K64" i="2"/>
  <c r="F102" i="2"/>
  <c r="F118" i="2" s="1"/>
  <c r="F100" i="2"/>
  <c r="F114" i="2" s="1"/>
  <c r="D89" i="2"/>
  <c r="D91" i="2" s="1"/>
  <c r="D113" i="2" s="1"/>
  <c r="D88" i="2"/>
  <c r="I78" i="2"/>
  <c r="I79" i="2" s="1"/>
  <c r="I76" i="2"/>
  <c r="G102" i="2"/>
  <c r="G118" i="2" s="1"/>
  <c r="K118" i="2" s="1"/>
  <c r="G100" i="2"/>
  <c r="G114" i="2" s="1"/>
  <c r="E89" i="2"/>
  <c r="E91" i="2" s="1"/>
  <c r="E113" i="2" s="1"/>
  <c r="E88" i="2"/>
  <c r="J40" i="2"/>
  <c r="G108" i="2"/>
  <c r="G109" i="2" s="1"/>
  <c r="H102" i="2"/>
  <c r="H118" i="2" s="1"/>
  <c r="H100" i="2"/>
  <c r="H114" i="2" s="1"/>
  <c r="I42" i="2"/>
  <c r="I45" i="2" s="1"/>
  <c r="I46" i="2" s="1"/>
  <c r="C30" i="2"/>
  <c r="C31" i="2" s="1"/>
  <c r="E34" i="2"/>
  <c r="E35" i="2" s="1"/>
  <c r="E36" i="2" s="1"/>
  <c r="E51" i="2" s="1"/>
  <c r="C42" i="2"/>
  <c r="C45" i="2" s="1"/>
  <c r="G72" i="2"/>
  <c r="G75" i="2" s="1"/>
  <c r="D92" i="2"/>
  <c r="D94" i="2" s="1"/>
  <c r="E108" i="2"/>
  <c r="E109" i="2" s="1"/>
  <c r="C41" i="2"/>
  <c r="J41" i="2" s="1"/>
  <c r="E7" i="2"/>
  <c r="D30" i="2"/>
  <c r="D31" i="2" s="1"/>
  <c r="F34" i="2"/>
  <c r="F35" i="2" s="1"/>
  <c r="F36" i="2" s="1"/>
  <c r="F51" i="2" s="1"/>
  <c r="F59" i="2"/>
  <c r="H67" i="2"/>
  <c r="H112" i="2" s="1"/>
  <c r="I85" i="2"/>
  <c r="I115" i="2" s="1"/>
  <c r="E92" i="2"/>
  <c r="E94" i="2" s="1"/>
  <c r="F7" i="2"/>
  <c r="C26" i="2"/>
  <c r="C27" i="2" s="1"/>
  <c r="E30" i="2"/>
  <c r="E31" i="2" s="1"/>
  <c r="G34" i="2"/>
  <c r="G35" i="2" s="1"/>
  <c r="G59" i="2"/>
  <c r="I67" i="2"/>
  <c r="I112" i="2" s="1"/>
  <c r="F92" i="2"/>
  <c r="F94" i="2" s="1"/>
  <c r="G7" i="2"/>
  <c r="K7" i="2" s="1"/>
  <c r="D26" i="2"/>
  <c r="D27" i="2" s="1"/>
  <c r="F30" i="2"/>
  <c r="F31" i="2" s="1"/>
  <c r="H34" i="2"/>
  <c r="H35" i="2" s="1"/>
  <c r="H36" i="2" s="1"/>
  <c r="H51" i="2" s="1"/>
  <c r="H59" i="2"/>
  <c r="D76" i="2"/>
  <c r="E26" i="2"/>
  <c r="E27" i="2" s="1"/>
  <c r="I34" i="2"/>
  <c r="I35" i="2" s="1"/>
  <c r="I36" i="2" s="1"/>
  <c r="I51" i="2" s="1"/>
  <c r="I59" i="2"/>
  <c r="C67" i="2"/>
  <c r="E76" i="2"/>
  <c r="F88" i="2"/>
  <c r="F26" i="2"/>
  <c r="F27" i="2" s="1"/>
  <c r="J114" i="2" l="1"/>
  <c r="K114" i="2"/>
  <c r="K111" i="2"/>
  <c r="G112" i="2"/>
  <c r="K112" i="2" s="1"/>
  <c r="J111" i="2"/>
  <c r="J116" i="2" s="1"/>
  <c r="C112" i="2"/>
  <c r="J112" i="2" s="1"/>
  <c r="H89" i="2"/>
  <c r="H91" i="2" s="1"/>
  <c r="H113" i="2" s="1"/>
  <c r="H115" i="2"/>
  <c r="K115" i="2"/>
  <c r="C103" i="2"/>
  <c r="C118" i="2"/>
  <c r="J118" i="2" s="1"/>
  <c r="J113" i="2"/>
  <c r="C105" i="2"/>
  <c r="J91" i="2"/>
  <c r="H88" i="2"/>
  <c r="E52" i="2"/>
  <c r="J73" i="2"/>
  <c r="D108" i="2"/>
  <c r="D109" i="2" s="1"/>
  <c r="J67" i="2"/>
  <c r="K31" i="2"/>
  <c r="D52" i="2"/>
  <c r="I52" i="2"/>
  <c r="K27" i="2"/>
  <c r="J59" i="2"/>
  <c r="K67" i="2"/>
  <c r="F52" i="2"/>
  <c r="G88" i="2"/>
  <c r="G89" i="2"/>
  <c r="G91" i="2" s="1"/>
  <c r="G113" i="2" s="1"/>
  <c r="K113" i="2" s="1"/>
  <c r="J100" i="2"/>
  <c r="H52" i="2"/>
  <c r="K109" i="2"/>
  <c r="J94" i="2"/>
  <c r="J55" i="2"/>
  <c r="K35" i="2"/>
  <c r="G36" i="2"/>
  <c r="J27" i="2"/>
  <c r="J7" i="2"/>
  <c r="H105" i="2"/>
  <c r="H103" i="2"/>
  <c r="D103" i="2"/>
  <c r="D105" i="2"/>
  <c r="F105" i="2"/>
  <c r="F103" i="2"/>
  <c r="J45" i="2"/>
  <c r="C46" i="2"/>
  <c r="J46" i="2" s="1"/>
  <c r="J31" i="2"/>
  <c r="I105" i="2"/>
  <c r="I103" i="2"/>
  <c r="G78" i="2"/>
  <c r="G79" i="2" s="1"/>
  <c r="K79" i="2" s="1"/>
  <c r="G76" i="2"/>
  <c r="K76" i="2" s="1"/>
  <c r="E105" i="2"/>
  <c r="E103" i="2"/>
  <c r="G73" i="2"/>
  <c r="K73" i="2" s="1"/>
  <c r="K45" i="2"/>
  <c r="I88" i="2"/>
  <c r="I89" i="2"/>
  <c r="I91" i="2" s="1"/>
  <c r="I113" i="2" s="1"/>
  <c r="K100" i="2"/>
  <c r="J88" i="2"/>
  <c r="K46" i="2"/>
  <c r="J109" i="2"/>
  <c r="J36" i="2"/>
  <c r="C51" i="2"/>
  <c r="G105" i="2"/>
  <c r="G103" i="2"/>
  <c r="J35" i="2"/>
  <c r="K59" i="2"/>
  <c r="J76" i="2"/>
  <c r="G106" i="2" l="1"/>
  <c r="G120" i="2"/>
  <c r="I106" i="2"/>
  <c r="I120" i="2"/>
  <c r="H106" i="2"/>
  <c r="K106" i="2" s="1"/>
  <c r="H120" i="2"/>
  <c r="C106" i="2"/>
  <c r="C120" i="2"/>
  <c r="J120" i="2" s="1"/>
  <c r="J121" i="2" s="1"/>
  <c r="K116" i="2"/>
  <c r="E106" i="2"/>
  <c r="E120" i="2"/>
  <c r="F106" i="2"/>
  <c r="F120" i="2"/>
  <c r="D106" i="2"/>
  <c r="D120" i="2"/>
  <c r="K91" i="2"/>
  <c r="J103" i="2"/>
  <c r="K88" i="2"/>
  <c r="J106" i="2"/>
  <c r="J51" i="2"/>
  <c r="C52" i="2"/>
  <c r="J52" i="2" s="1"/>
  <c r="G51" i="2"/>
  <c r="K36" i="2"/>
  <c r="K103" i="2"/>
  <c r="K120" i="2" l="1"/>
  <c r="K121" i="2" s="1"/>
  <c r="G52" i="2"/>
  <c r="K52" i="2" s="1"/>
  <c r="K51" i="2"/>
  <c r="AA17" i="1"/>
</calcChain>
</file>

<file path=xl/sharedStrings.xml><?xml version="1.0" encoding="utf-8"?>
<sst xmlns="http://schemas.openxmlformats.org/spreadsheetml/2006/main" count="271" uniqueCount="153">
  <si>
    <t>ΑΡΙΘΜΟΣ ΕΠΙΧΕΙΡΗΣΕΩΝ</t>
  </si>
  <si>
    <t>ΚΥΚΛΟΣ ΕΡΓΑΣΙΩΝ</t>
  </si>
  <si>
    <t>ΥΠΗΡΕΣΙΕΣ ΚΑΤΑΛΥΜΑΤΩΝ</t>
  </si>
  <si>
    <t>ΕΤΟΣ</t>
  </si>
  <si>
    <t/>
  </si>
  <si>
    <t>ΑΡΙΘΜΟΣ ΔΙΑΝΥΚΤΕΡΕΥΣΕΩΝ</t>
  </si>
  <si>
    <t>ΜΕΓΑΛΑ 
ΞΕΝΟΔΟΧΕΙΑ
 (&gt;250)</t>
  </si>
  <si>
    <t>ΜΕΣΑΙΑ 
ΞΕΝΟΔΟΧΕΙΑ 
(100-249)</t>
  </si>
  <si>
    <t>ΜΙΚΡΟΜΕΣΑΙΑ 
ΞΕΝΟΔΟΧΕΙΑ 
(26-99)</t>
  </si>
  <si>
    <t>ΜΙΚΡΑ ΞΕΝΟΔΟΧΕΙΑ 
(&lt;25)</t>
  </si>
  <si>
    <t>ΑΡΙΘΜΟΣ ΕΓΚΑΤΑΣΤΑΣΕΩΝ</t>
  </si>
  <si>
    <t>HHI</t>
  </si>
  <si>
    <t>ΠΟΛΎ ΜΙΚΡΑ ΞΕΝΟΔΟΧΕΙΑ (1-10)</t>
  </si>
  <si>
    <t>ΜΙΚΡΑ ΞΕΝΟΔΟΧΕΙΑ (11-50)</t>
  </si>
  <si>
    <t>ΜΕΣΑΙΑ ΞΕΝΟΔΟΧΕΙΑ (50-249)</t>
  </si>
  <si>
    <t>ΜΕΓΑΛΑ ΞΕΝΟΔΟΧΕΙΑ (250 ΚΑΙ ΑΝΩ)</t>
  </si>
  <si>
    <t>ΑΡΙΘΜΟΣ</t>
  </si>
  <si>
    <t>ΤΑΞΗ</t>
  </si>
  <si>
    <t>P</t>
  </si>
  <si>
    <t>Q</t>
  </si>
  <si>
    <t>ΈΞΟΔΟΣ ΣΥΜΠΕΡΑΣΜΑΤΟΣ</t>
  </si>
  <si>
    <t>Στατιστικά παλινδρόμησης</t>
  </si>
  <si>
    <t>Πολλαπλό R</t>
  </si>
  <si>
    <t>R Τετράγωνο</t>
  </si>
  <si>
    <t>Προσαρμοσμένο R Τετράγωνο</t>
  </si>
  <si>
    <t>Τυπικό σφάλμα</t>
  </si>
  <si>
    <t>Μέγεθος δείγματος</t>
  </si>
  <si>
    <t>ΑΝΑΛΥΣΗ ΔΙΑΚΥΜΑΝΣΗΣ</t>
  </si>
  <si>
    <t>Παλινδρόμηση</t>
  </si>
  <si>
    <t>Υπόλοιπο</t>
  </si>
  <si>
    <t>Σύνολο</t>
  </si>
  <si>
    <t>Τεταγμένη επί την αρχή</t>
  </si>
  <si>
    <t>βαθμοί ελευθερίας</t>
  </si>
  <si>
    <t>SS</t>
  </si>
  <si>
    <t>MS</t>
  </si>
  <si>
    <t>F</t>
  </si>
  <si>
    <t>Σημαντικότητα F</t>
  </si>
  <si>
    <t>Συντελεστές</t>
  </si>
  <si>
    <t>t</t>
  </si>
  <si>
    <t>τιμή-P</t>
  </si>
  <si>
    <t>Κατώτερο 95%</t>
  </si>
  <si>
    <t>Υψηλότερο 95%</t>
  </si>
  <si>
    <t>Κατώτερο 95,0%</t>
  </si>
  <si>
    <t>Υψηλότερο 95,0%</t>
  </si>
  <si>
    <t>Μεταβλητή X 1</t>
  </si>
  <si>
    <t>Qs</t>
  </si>
  <si>
    <t>ΠΕΡΙΟΔΟΣ</t>
  </si>
  <si>
    <t>ΜΕΣΟΣ</t>
  </si>
  <si>
    <t>Y</t>
  </si>
  <si>
    <t>Μεταβλητή X 2</t>
  </si>
  <si>
    <t>N</t>
  </si>
  <si>
    <t>Μεταβλητή X 3</t>
  </si>
  <si>
    <t>b</t>
  </si>
  <si>
    <t>a</t>
  </si>
  <si>
    <r>
      <t>Q</t>
    </r>
    <r>
      <rPr>
        <vertAlign val="subscript"/>
        <sz val="10"/>
        <color theme="1"/>
        <rFont val="Arial"/>
        <family val="2"/>
        <charset val="161"/>
      </rPr>
      <t>D1</t>
    </r>
  </si>
  <si>
    <r>
      <t>Q</t>
    </r>
    <r>
      <rPr>
        <vertAlign val="subscript"/>
        <sz val="10"/>
        <color theme="1"/>
        <rFont val="Arial"/>
        <family val="2"/>
        <charset val="161"/>
      </rPr>
      <t>D2</t>
    </r>
    <r>
      <rPr>
        <sz val="11"/>
        <color theme="1"/>
        <rFont val="Calibri"/>
        <family val="2"/>
        <charset val="161"/>
        <scheme val="minor"/>
      </rPr>
      <t/>
    </r>
  </si>
  <si>
    <r>
      <t>E</t>
    </r>
    <r>
      <rPr>
        <b/>
        <vertAlign val="subscript"/>
        <sz val="10"/>
        <color theme="1"/>
        <rFont val="Arial"/>
        <family val="2"/>
        <charset val="161"/>
      </rPr>
      <t>Q,P</t>
    </r>
  </si>
  <si>
    <r>
      <t>E</t>
    </r>
    <r>
      <rPr>
        <b/>
        <vertAlign val="subscript"/>
        <sz val="10"/>
        <color theme="1"/>
        <rFont val="Arial"/>
        <family val="2"/>
        <charset val="161"/>
      </rPr>
      <t>Y</t>
    </r>
  </si>
  <si>
    <t>LERNER (LI)</t>
  </si>
  <si>
    <t>PRO &amp; COVID</t>
  </si>
  <si>
    <t>POST COVID</t>
  </si>
  <si>
    <t>Κυκλοφορούν Ενεργητικό</t>
  </si>
  <si>
    <t>Βραχ. Υποχρεώσεις</t>
  </si>
  <si>
    <t>Αποθέματα</t>
  </si>
  <si>
    <t>Εμπορεύσιμα χρεόγραφα</t>
  </si>
  <si>
    <t>Λειτουργικές ταμειακές ροές</t>
  </si>
  <si>
    <t>Λειτουργική Ταμειακή Ρευστότητα</t>
  </si>
  <si>
    <t>Κόστος πωλήσεων</t>
  </si>
  <si>
    <t>Έξοδα διοίκησης</t>
  </si>
  <si>
    <t>Έξοδα διάθεσης</t>
  </si>
  <si>
    <t>Λοιπά λειτουργικά έξοδα</t>
  </si>
  <si>
    <t>Χρηματοοικονομικά έξοδα</t>
  </si>
  <si>
    <t>Αποσβέσεις</t>
  </si>
  <si>
    <t>Ημερήσια έξοδα</t>
  </si>
  <si>
    <t xml:space="preserve">Αμυντικό Διάστημα </t>
  </si>
  <si>
    <t>Ταχεία περιουσιακά στοιχεία</t>
  </si>
  <si>
    <t>Ταμειακά διαθέσιμα και ισοδύναμα</t>
  </si>
  <si>
    <t>Βραχυπρόθεσμες επενδύσεις</t>
  </si>
  <si>
    <t>Ημέρες με μετρητά στο Χέρι</t>
  </si>
  <si>
    <t>Μέσο ύψος αποθεμάτων</t>
  </si>
  <si>
    <t>Πωλήσεις</t>
  </si>
  <si>
    <t>Καθαρές πωλήσεις με πίστωση</t>
  </si>
  <si>
    <t>Λογαριασμοί εισπρακτέοι</t>
  </si>
  <si>
    <t>Μέσο ύψος εισπρακτέων λογαριασμών</t>
  </si>
  <si>
    <t>Αγορές</t>
  </si>
  <si>
    <t>Προμηθευτές και λοιπές υποχρεώσεις</t>
  </si>
  <si>
    <t>Μέσο ύψος προμηθευτών και λοιπών υποχρεώσεων</t>
  </si>
  <si>
    <t>Ενεργητικό</t>
  </si>
  <si>
    <t>Μέσο ύψος ενεργητικού</t>
  </si>
  <si>
    <t>Κύκλος ρευστότητας</t>
  </si>
  <si>
    <t>Εμπορικός κύκλος</t>
  </si>
  <si>
    <t>Καθαρό πάγιο ενεργητικό</t>
  </si>
  <si>
    <t>Κέρδη μετά φόρων</t>
  </si>
  <si>
    <t>Μερίσματα σε προνομιούχες μετοχές</t>
  </si>
  <si>
    <t>Αποδοτικότητα κεφαλαίων μετόχων</t>
  </si>
  <si>
    <t>Κεφάλαια μετόχων (Μετοχικό κεφάλαιο &amp; Αποθεματικα)</t>
  </si>
  <si>
    <t>Μακροπρόθεσμα δάνεια</t>
  </si>
  <si>
    <t>Αποδοτικότητα ενεργητικού</t>
  </si>
  <si>
    <t>Κέρδη προ τόκων και φόρων</t>
  </si>
  <si>
    <t>Απασχολούμενα κεφάλαια</t>
  </si>
  <si>
    <t>Μικτά κέρδη</t>
  </si>
  <si>
    <t>Τόκοι</t>
  </si>
  <si>
    <t>Χρηματοδότηση με μακροπρόθεσμο χρέος</t>
  </si>
  <si>
    <t>Xρηματοοικονομική μόχλευση</t>
  </si>
  <si>
    <t>Κέρδη προ φόρων</t>
  </si>
  <si>
    <t>Χρηματοδότηση με χρέος</t>
  </si>
  <si>
    <t>Υποχρεώσεις</t>
  </si>
  <si>
    <t>Μακροπρόθεσμες υποχρεώσεις</t>
  </si>
  <si>
    <t>Ενεργηητικό</t>
  </si>
  <si>
    <t>Χρέος προς ίδια κεφάλαια</t>
  </si>
  <si>
    <t>Ίδια κεφάλαια</t>
  </si>
  <si>
    <t>Μερίσματα προς μετόχους</t>
  </si>
  <si>
    <t>Κέρδη προς διάθεση προς μετόχους</t>
  </si>
  <si>
    <t>Φορές που κερδίζονται οι τόκοι</t>
  </si>
  <si>
    <t>Κάλυψη τόκων</t>
  </si>
  <si>
    <t>Μέση ηλικία απαιτήσεων</t>
  </si>
  <si>
    <t>Μέση ηλικία αποθεμάτων</t>
  </si>
  <si>
    <t>Μέση ηλικία προμηθευτών</t>
  </si>
  <si>
    <t>Ημερήσια λειτουργικά έξοδα</t>
  </si>
  <si>
    <t>Έμμεση Ρευστότητα</t>
  </si>
  <si>
    <t>Άμεση Ρευστότητα</t>
  </si>
  <si>
    <t>Απόλυτη ρευστότητα</t>
  </si>
  <si>
    <t>Καθαρές ταμειακές εισροές από λειτουργικές δραστηριότητες</t>
  </si>
  <si>
    <t>Τόκοι εισπραχθέντες</t>
  </si>
  <si>
    <t>Τόκοι πληρωθέντες</t>
  </si>
  <si>
    <t>Κάλυψη τόκων με μετρητά</t>
  </si>
  <si>
    <t>Ταμειακή αποδοτικότητα απασχολούμενων κεφαλαίων</t>
  </si>
  <si>
    <t>Αποδοτικότητα απασχολούμενων κεφαλαίων</t>
  </si>
  <si>
    <t>Ταχύτητα κυκλοφορίας αποθεμάτων</t>
  </si>
  <si>
    <t>Ταχύτητα κυκλοφορίας εισπρακτέων λογαριασμών</t>
  </si>
  <si>
    <t>Ταχύτητα κυκλοφορίας πληρωτέων λογαριασμών (προμηθευτών)</t>
  </si>
  <si>
    <t>Ταχύτητα κυκλοφορίας ενεργητικού</t>
  </si>
  <si>
    <t>Ταχύτητα κυκλοφορίας παγίου ενεργητικού</t>
  </si>
  <si>
    <t>Μικτό περιθώριο επί των πωλήσεων</t>
  </si>
  <si>
    <t>Λειτουργικό περιθώριο επί των πωλήσεων</t>
  </si>
  <si>
    <t>Καθαρό περιθώριο επί των πωλήσεων</t>
  </si>
  <si>
    <t>Συνολικό περιθώριο επί των πωλήσεων</t>
  </si>
  <si>
    <t xml:space="preserve">Πωλήσεις </t>
  </si>
  <si>
    <t>Λοιπά λειτουργικά έσοδα</t>
  </si>
  <si>
    <t>Μη λειτουργικά έσοδα</t>
  </si>
  <si>
    <t>Βασική δύναμη κερδοφορίας</t>
  </si>
  <si>
    <t>Αυτοχρηματοδότηση</t>
  </si>
  <si>
    <t>Μετοχικό κεφάλαιο</t>
  </si>
  <si>
    <t>Αποθεματικά</t>
  </si>
  <si>
    <t xml:space="preserve">Πληρωμή μερίσματος </t>
  </si>
  <si>
    <r>
      <t>Αριθμοδείκτης X</t>
    </r>
    <r>
      <rPr>
        <b/>
        <vertAlign val="subscript"/>
        <sz val="10"/>
        <color theme="1"/>
        <rFont val="Arial"/>
        <family val="2"/>
        <charset val="161"/>
      </rPr>
      <t>1</t>
    </r>
  </si>
  <si>
    <r>
      <t>Αριθμοδείκτης X</t>
    </r>
    <r>
      <rPr>
        <b/>
        <vertAlign val="subscript"/>
        <sz val="10"/>
        <color theme="1"/>
        <rFont val="Arial"/>
        <family val="2"/>
        <charset val="161"/>
      </rPr>
      <t>2</t>
    </r>
    <r>
      <rPr>
        <sz val="11"/>
        <color theme="1"/>
        <rFont val="Calibri"/>
        <family val="2"/>
        <charset val="161"/>
        <scheme val="minor"/>
      </rPr>
      <t/>
    </r>
  </si>
  <si>
    <r>
      <t>Αριθμοδείκτης X</t>
    </r>
    <r>
      <rPr>
        <b/>
        <vertAlign val="subscript"/>
        <sz val="10"/>
        <color theme="1"/>
        <rFont val="Arial"/>
        <family val="2"/>
        <charset val="161"/>
      </rPr>
      <t>3</t>
    </r>
    <r>
      <rPr>
        <sz val="11"/>
        <color theme="1"/>
        <rFont val="Calibri"/>
        <family val="2"/>
        <charset val="161"/>
        <scheme val="minor"/>
      </rPr>
      <t/>
    </r>
  </si>
  <si>
    <r>
      <t>Αριθμοδείκτης X</t>
    </r>
    <r>
      <rPr>
        <b/>
        <vertAlign val="subscript"/>
        <sz val="10"/>
        <color theme="1"/>
        <rFont val="Arial"/>
        <family val="2"/>
        <charset val="161"/>
      </rPr>
      <t>4</t>
    </r>
    <r>
      <rPr>
        <sz val="11"/>
        <color theme="1"/>
        <rFont val="Calibri"/>
        <family val="2"/>
        <charset val="161"/>
        <scheme val="minor"/>
      </rPr>
      <t/>
    </r>
  </si>
  <si>
    <r>
      <t>Αριθμοδείκτης X</t>
    </r>
    <r>
      <rPr>
        <b/>
        <vertAlign val="subscript"/>
        <sz val="10"/>
        <color theme="1"/>
        <rFont val="Arial"/>
        <family val="2"/>
        <charset val="161"/>
      </rPr>
      <t>5</t>
    </r>
    <r>
      <rPr>
        <sz val="11"/>
        <color theme="1"/>
        <rFont val="Calibri"/>
        <family val="2"/>
        <charset val="161"/>
        <scheme val="minor"/>
      </rPr>
      <t/>
    </r>
  </si>
  <si>
    <r>
      <t>Αριθμοδείκτης X</t>
    </r>
    <r>
      <rPr>
        <b/>
        <vertAlign val="subscript"/>
        <sz val="10"/>
        <color theme="1"/>
        <rFont val="Arial"/>
        <family val="2"/>
        <charset val="161"/>
      </rPr>
      <t>6</t>
    </r>
    <r>
      <rPr>
        <sz val="11"/>
        <color theme="1"/>
        <rFont val="Calibri"/>
        <family val="2"/>
        <charset val="161"/>
        <scheme val="minor"/>
      </rPr>
      <t/>
    </r>
  </si>
  <si>
    <t>PHP</t>
  </si>
  <si>
    <t>Ζ-score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</si>
</sst>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u val="double"/>
      <sz val="10"/>
      <color theme="1"/>
      <name val="Arial"/>
      <family val="2"/>
      <charset val="161"/>
    </font>
    <font>
      <i/>
      <sz val="10"/>
      <color theme="1"/>
      <name val="Arial"/>
      <family val="2"/>
      <charset val="161"/>
    </font>
    <font>
      <vertAlign val="subscript"/>
      <sz val="10"/>
      <color theme="1"/>
      <name val="Arial"/>
      <family val="2"/>
      <charset val="161"/>
    </font>
    <font>
      <sz val="8"/>
      <name val="Calibri"/>
      <family val="2"/>
      <charset val="161"/>
      <scheme val="minor"/>
    </font>
    <font>
      <b/>
      <vertAlign val="subscript"/>
      <sz val="10"/>
      <color theme="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2" fillId="0" borderId="1" xfId="0" applyFont="1" applyBorder="1"/>
    <xf numFmtId="0" fontId="5" fillId="0" borderId="2" xfId="0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100" b="1" u="sng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ΔΕΙΚΤΗΣ </a:t>
            </a:r>
            <a:r>
              <a:rPr lang="en-US" sz="1100" b="1" u="sng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MON</a:t>
            </a:r>
            <a:r>
              <a:rPr lang="el-GR" sz="1100" b="1" u="sng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ΟΠΩΛΙΑΚΗΣ ΔΥΝΑΜΗΣ ΞΕΝΟΔΟΧΕΙΑΚΩΝ ΕΠΙΧΕΙΡΗΣΕΩΝ ΣΤΗΝ ΕΛΛΑΔΑ</a:t>
            </a:r>
            <a:endParaRPr lang="en-US" sz="1100" b="1" u="sng" spc="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197222222222222"/>
          <c:y val="3.7037037037037035E-2"/>
        </c:manualLayout>
      </c:layout>
      <c:overlay val="0"/>
      <c:spPr>
        <a:solidFill>
          <a:srgbClr val="00B0F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13656758530183727"/>
          <c:y val="0.24744203849518809"/>
          <c:w val="0.83009908136482935"/>
          <c:h val="0.514857101195683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'ΚΕΦΑΛΑΙΟ 1'!$E$54</c:f>
              <c:strCache>
                <c:ptCount val="1"/>
                <c:pt idx="0">
                  <c:v>LERNER (LI)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w Cen MT Condensed Extra Bold" panose="020B0803020202020204" pitchFamily="34" charset="0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'ΚΕΦΑΛΑΙΟ 1'!$C$55:$C$61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'ΚΕΦΑΛΑΙΟ 1'!$E$55:$E$61</c:f>
              <c:numCache>
                <c:formatCode>0.00</c:formatCode>
                <c:ptCount val="7"/>
                <c:pt idx="0">
                  <c:v>0.12908863240419075</c:v>
                </c:pt>
                <c:pt idx="1">
                  <c:v>0.12980373835377249</c:v>
                </c:pt>
                <c:pt idx="2">
                  <c:v>0.20214531248359854</c:v>
                </c:pt>
                <c:pt idx="3">
                  <c:v>0.15851504079826217</c:v>
                </c:pt>
                <c:pt idx="4">
                  <c:v>0.14724631296855095</c:v>
                </c:pt>
                <c:pt idx="5">
                  <c:v>0.13931838338872116</c:v>
                </c:pt>
                <c:pt idx="6">
                  <c:v>0.14220159640151728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7-482D-B5C4-8BD1F44FC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9264752"/>
        <c:axId val="669264424"/>
      </c:barChart>
      <c:catAx>
        <c:axId val="66926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 Condensed Extra Bold" panose="020B0803020202020204" pitchFamily="34" charset="0"/>
                <a:ea typeface="+mn-ea"/>
                <a:cs typeface="+mn-cs"/>
              </a:defRPr>
            </a:pPr>
            <a:endParaRPr lang="el-GR"/>
          </a:p>
        </c:txPr>
        <c:crossAx val="669264424"/>
        <c:crosses val="autoZero"/>
        <c:auto val="1"/>
        <c:lblAlgn val="ctr"/>
        <c:lblOffset val="100"/>
        <c:noMultiLvlLbl val="0"/>
      </c:catAx>
      <c:valAx>
        <c:axId val="669264424"/>
        <c:scaling>
          <c:orientation val="minMax"/>
          <c:max val="1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 Condensed Extra Bold" panose="020B0803020202020204" pitchFamily="34" charset="0"/>
                <a:ea typeface="+mn-ea"/>
                <a:cs typeface="+mn-cs"/>
              </a:defRPr>
            </a:pPr>
            <a:endParaRPr lang="el-GR"/>
          </a:p>
        </c:txPr>
        <c:crossAx val="669264752"/>
        <c:crosses val="autoZero"/>
        <c:crossBetween val="between"/>
      </c:valAx>
      <c:spPr>
        <a:solidFill>
          <a:srgbClr val="00B0F0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w Cen MT Condensed Extra Bold" panose="020B0803020202020204" pitchFamily="34" charset="0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ΑΡΙΘΜΟΔΕΙΚΤΕΣ ΔΡΑΣΤΗΡΙΟΤΗΤΑΣ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SANI AE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ΠΡΟ&amp;ΕΝ ΜΕΣΩ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ΚΑΙ ΜΕΤΑ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COVID </a:t>
            </a:r>
            <a:endParaRPr lang="el-GR" sz="1100" b="1" u="dbl" spc="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'ΚΕΦΑΛΑΙΟ 2'!$B$35</c:f>
              <c:strCache>
                <c:ptCount val="1"/>
                <c:pt idx="0">
                  <c:v>Ταχύτητα κυκλοφορίας αποθεμάτων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2'!$J$35:$K$35</c:f>
              <c:numCache>
                <c:formatCode>#,##0.00</c:formatCode>
                <c:ptCount val="2"/>
                <c:pt idx="0">
                  <c:v>21.622071402339913</c:v>
                </c:pt>
                <c:pt idx="1">
                  <c:v>30.157019332678079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F-43E9-8896-738A18E710BE}"/>
            </c:ext>
          </c:extLst>
        </c:ser>
        <c:ser>
          <c:idx val="5"/>
          <c:order val="1"/>
          <c:tx>
            <c:strRef>
              <c:f>'ΚΕΦΑΛΑΙΟ 2'!$B$40</c:f>
              <c:strCache>
                <c:ptCount val="1"/>
                <c:pt idx="0">
                  <c:v>Ταχύτητα κυκλοφορίας εισπρακτέων λογαριασμών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2'!$J$40:$K$40</c:f>
              <c:numCache>
                <c:formatCode>#,##0.00</c:formatCode>
                <c:ptCount val="2"/>
                <c:pt idx="0">
                  <c:v>9.0371328627290737</c:v>
                </c:pt>
                <c:pt idx="1">
                  <c:v>14.329921626780013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F-43E9-8896-738A18E710BE}"/>
            </c:ext>
          </c:extLst>
        </c:ser>
        <c:ser>
          <c:idx val="0"/>
          <c:order val="2"/>
          <c:tx>
            <c:strRef>
              <c:f>'ΚΕΦΑΛΑΙΟ 2'!$B$45</c:f>
              <c:strCache>
                <c:ptCount val="1"/>
                <c:pt idx="0">
                  <c:v>Ταχύτητα κυκλοφορίας πληρωτέων λογαριασμών (προμηθευτών)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2'!$J$45:$K$45</c:f>
              <c:numCache>
                <c:formatCode>#,##0.00</c:formatCode>
                <c:ptCount val="2"/>
                <c:pt idx="0">
                  <c:v>3.9418915172636346</c:v>
                </c:pt>
                <c:pt idx="1">
                  <c:v>4.2538958435725869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CF-43E9-8896-738A18E710BE}"/>
            </c:ext>
          </c:extLst>
        </c:ser>
        <c:ser>
          <c:idx val="1"/>
          <c:order val="3"/>
          <c:tx>
            <c:strRef>
              <c:f>'ΚΕΦΑΛΑΙΟ 2'!$B$50</c:f>
              <c:strCache>
                <c:ptCount val="1"/>
                <c:pt idx="0">
                  <c:v>Ταχύτητα κυκλοφορίας ενεργητικού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2'!$J$50:$K$50</c:f>
              <c:numCache>
                <c:formatCode>#,##0.00</c:formatCode>
                <c:ptCount val="2"/>
                <c:pt idx="0">
                  <c:v>0.16982999605232807</c:v>
                </c:pt>
                <c:pt idx="1">
                  <c:v>0.28092352045898966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CF-43E9-8896-738A18E710BE}"/>
            </c:ext>
          </c:extLst>
        </c:ser>
        <c:ser>
          <c:idx val="3"/>
          <c:order val="4"/>
          <c:tx>
            <c:strRef>
              <c:f>'ΚΕΦΑΛΑΙΟ 2'!$B$55</c:f>
              <c:strCache>
                <c:ptCount val="1"/>
                <c:pt idx="0">
                  <c:v>Ταχύτητα κυκλοφορίας παγίου ενεργητικού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2'!$J$55:$K$55</c:f>
              <c:numCache>
                <c:formatCode>#,##0.00</c:formatCode>
                <c:ptCount val="2"/>
                <c:pt idx="0">
                  <c:v>0.17842976384527423</c:v>
                </c:pt>
                <c:pt idx="1">
                  <c:v>0.29384926890380736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CF-43E9-8896-738A18E71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33848"/>
        <c:axId val="99032208"/>
      </c:barChart>
      <c:catAx>
        <c:axId val="9903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2208"/>
        <c:crosses val="autoZero"/>
        <c:auto val="1"/>
        <c:lblAlgn val="ctr"/>
        <c:lblOffset val="100"/>
        <c:noMultiLvlLbl val="0"/>
      </c:catAx>
      <c:valAx>
        <c:axId val="99032208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3848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ΑΡΙΘΜΟΔΕΙΚΤΕΣ ΚΕΡΔΟΦΟΡΙΑΣ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SANI AE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ΠΡΟ&amp;ΕΝ ΜΕΣΩ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ΚΑΙ ΜΕΤΑ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COVID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'ΚΕΦΑΛΑΙΟ 2'!$B$73</c:f>
              <c:strCache>
                <c:ptCount val="1"/>
                <c:pt idx="0">
                  <c:v>Καθαρό περιθώριο επί των πωλήσεων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2'!$J$73:$K$73</c:f>
              <c:numCache>
                <c:formatCode>0.00%</c:formatCode>
                <c:ptCount val="2"/>
                <c:pt idx="0">
                  <c:v>-0.33460179691630848</c:v>
                </c:pt>
                <c:pt idx="1">
                  <c:v>9.088879123926985E-2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8-44F9-8FDD-7E5AEA36164B}"/>
            </c:ext>
          </c:extLst>
        </c:ser>
        <c:ser>
          <c:idx val="6"/>
          <c:order val="1"/>
          <c:tx>
            <c:strRef>
              <c:f>'ΚΕΦΑΛΑΙΟ 2'!$B$76</c:f>
              <c:strCache>
                <c:ptCount val="1"/>
                <c:pt idx="0">
                  <c:v>Λειτουργικό περιθώριο επί των πωλήσεων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2'!$J$76:$K$76</c:f>
              <c:numCache>
                <c:formatCode>0.00%</c:formatCode>
                <c:ptCount val="2"/>
                <c:pt idx="0">
                  <c:v>-0.10174419249846063</c:v>
                </c:pt>
                <c:pt idx="1">
                  <c:v>0.28698688438902487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A8-44F9-8FDD-7E5AEA36164B}"/>
            </c:ext>
          </c:extLst>
        </c:ser>
        <c:ser>
          <c:idx val="7"/>
          <c:order val="2"/>
          <c:tx>
            <c:strRef>
              <c:f>'ΚΕΦΑΛΑΙΟ 2'!$B$79</c:f>
              <c:strCache>
                <c:ptCount val="1"/>
                <c:pt idx="0">
                  <c:v>Μικτό περιθώριο επί των πωλήσεων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2'!$J$79:$K$79</c:f>
              <c:numCache>
                <c:formatCode>0.00%</c:formatCode>
                <c:ptCount val="2"/>
                <c:pt idx="0">
                  <c:v>0.14936792196006762</c:v>
                </c:pt>
                <c:pt idx="1">
                  <c:v>0.45000427185813102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A8-44F9-8FDD-7E5AEA36164B}"/>
            </c:ext>
          </c:extLst>
        </c:ser>
        <c:ser>
          <c:idx val="1"/>
          <c:order val="3"/>
          <c:tx>
            <c:strRef>
              <c:f>'ΚΕΦΑΛΑΙΟ 2'!$B$84</c:f>
              <c:strCache>
                <c:ptCount val="1"/>
                <c:pt idx="0">
                  <c:v>Συνολικό περιθώριο επί των πωλήσεων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2'!$J$84:$K$84</c:f>
              <c:numCache>
                <c:formatCode>0.00%</c:formatCode>
                <c:ptCount val="2"/>
                <c:pt idx="0">
                  <c:v>-0.28068430953213497</c:v>
                </c:pt>
                <c:pt idx="1">
                  <c:v>8.4258033292038292E-2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B-47CF-B10B-11B451D1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33848"/>
        <c:axId val="99032208"/>
      </c:barChart>
      <c:catAx>
        <c:axId val="9903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2208"/>
        <c:crosses val="autoZero"/>
        <c:auto val="1"/>
        <c:lblAlgn val="ctr"/>
        <c:lblOffset val="100"/>
        <c:noMultiLvlLbl val="0"/>
      </c:catAx>
      <c:valAx>
        <c:axId val="99032208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3848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ΑΡΙΘΜΟΔΕΙΚΤΕΣ ΚΕΡΔΟΦΟΡΙΑΣ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SANI AE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ΠΡΟ&amp;ΕΝ ΜΕΣΩ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ΚΑΙ ΜΕΤΑ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COVID </a:t>
            </a:r>
            <a:endParaRPr lang="el-GR" sz="1100" b="1" u="dbl" spc="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'ΚΕΦΑΛΑΙΟ 2'!$B$59</c:f>
              <c:strCache>
                <c:ptCount val="1"/>
                <c:pt idx="0">
                  <c:v>Αποδοτικότητα κεφαλαίων μετόχων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2'!$J$59:$K$59</c:f>
              <c:numCache>
                <c:formatCode>0.00%</c:formatCode>
                <c:ptCount val="2"/>
                <c:pt idx="0">
                  <c:v>-9.6959466035277664E-4</c:v>
                </c:pt>
                <c:pt idx="1">
                  <c:v>0.14692940982393701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C-457F-8DF7-F5C1EEDB9095}"/>
            </c:ext>
          </c:extLst>
        </c:ser>
        <c:ser>
          <c:idx val="0"/>
          <c:order val="1"/>
          <c:tx>
            <c:strRef>
              <c:f>'ΚΕΦΑΛΑΙΟ 2'!$B$64</c:f>
              <c:strCache>
                <c:ptCount val="1"/>
                <c:pt idx="0">
                  <c:v>Αποδοτικότητα απασχολούμενων κεφαλαίων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2'!$J$64:$K$64</c:f>
              <c:numCache>
                <c:formatCode>0.00%</c:formatCode>
                <c:ptCount val="2"/>
                <c:pt idx="0">
                  <c:v>4.0873130772578897E-2</c:v>
                </c:pt>
                <c:pt idx="1">
                  <c:v>0.10579238060100236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0C-457F-8DF7-F5C1EEDB9095}"/>
            </c:ext>
          </c:extLst>
        </c:ser>
        <c:ser>
          <c:idx val="1"/>
          <c:order val="2"/>
          <c:tx>
            <c:strRef>
              <c:f>'ΚΕΦΑΛΑΙΟ 2'!$B$67</c:f>
              <c:strCache>
                <c:ptCount val="1"/>
                <c:pt idx="0">
                  <c:v>Αποδοτικότητα ενεργητικού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2'!$J$67:$K$67</c:f>
              <c:numCache>
                <c:formatCode>0.00%</c:formatCode>
                <c:ptCount val="2"/>
                <c:pt idx="0">
                  <c:v>-2.5929763981546831E-4</c:v>
                </c:pt>
                <c:pt idx="1">
                  <c:v>2.5249188613194556E-2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0C-457F-8DF7-F5C1EEDB9095}"/>
            </c:ext>
          </c:extLst>
        </c:ser>
        <c:ser>
          <c:idx val="3"/>
          <c:order val="3"/>
          <c:tx>
            <c:strRef>
              <c:f>'ΚΕΦΑΛΑΙΟ 2'!$B$70</c:f>
              <c:strCache>
                <c:ptCount val="1"/>
                <c:pt idx="0">
                  <c:v>Βασική δύναμη κερδοφορίας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2'!$J$70:$K$70</c:f>
              <c:numCache>
                <c:formatCode>0.00%</c:formatCode>
                <c:ptCount val="2"/>
                <c:pt idx="0">
                  <c:v>3.1085703078281915E-2</c:v>
                </c:pt>
                <c:pt idx="1">
                  <c:v>7.8827805067257006E-2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0C-457F-8DF7-F5C1EEDB9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33848"/>
        <c:axId val="99032208"/>
      </c:barChart>
      <c:catAx>
        <c:axId val="9903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2208"/>
        <c:crosses val="autoZero"/>
        <c:auto val="1"/>
        <c:lblAlgn val="ctr"/>
        <c:lblOffset val="100"/>
        <c:noMultiLvlLbl val="0"/>
      </c:catAx>
      <c:valAx>
        <c:axId val="99032208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3848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ΑΡΙΘΜΟΔΕΙΚΤΕΣ ΜΟΧΛΕΥΣΗΣ Η' ΧΡΗΜ/ΚΟΥ ΚΙΝΔΥΝΟΥ 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SANI AE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ΠΡΟ&amp;ΕΝ ΜΕΣΩ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ΚΑΙ ΜΕΤΑ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COVID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'ΚΕΦΑΛΑΙΟ 2'!$B$100</c:f>
              <c:strCache>
                <c:ptCount val="1"/>
                <c:pt idx="0">
                  <c:v>Χρηματοδότηση με χρέος</c:v>
                </c:pt>
              </c:strCache>
            </c:strRef>
          </c:tx>
          <c:spPr>
            <a:solidFill>
              <a:srgbClr val="9900FF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2'!$J$100:$K$100</c:f>
              <c:numCache>
                <c:formatCode>#,##0.00</c:formatCode>
                <c:ptCount val="2"/>
                <c:pt idx="0">
                  <c:v>0.79600504655636528</c:v>
                </c:pt>
                <c:pt idx="1">
                  <c:v>0.77870284956433566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F-4C99-968C-D1726C1B2F3D}"/>
            </c:ext>
          </c:extLst>
        </c:ser>
        <c:ser>
          <c:idx val="7"/>
          <c:order val="1"/>
          <c:tx>
            <c:strRef>
              <c:f>'ΚΕΦΑΛΑΙΟ 2'!$B$103</c:f>
              <c:strCache>
                <c:ptCount val="1"/>
                <c:pt idx="0">
                  <c:v>Χρηματοδότηση με μακροπρόθεσμο χρέος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2'!$J$103:$K$103</c:f>
              <c:numCache>
                <c:formatCode>#,##0.00</c:formatCode>
                <c:ptCount val="2"/>
                <c:pt idx="0">
                  <c:v>0.74690184983638641</c:v>
                </c:pt>
                <c:pt idx="1">
                  <c:v>0.69074820732141085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F-4C99-968C-D1726C1B2F3D}"/>
            </c:ext>
          </c:extLst>
        </c:ser>
        <c:ser>
          <c:idx val="1"/>
          <c:order val="2"/>
          <c:tx>
            <c:strRef>
              <c:f>'ΚΕΦΑΛΑΙΟ 2'!$B$106</c:f>
              <c:strCache>
                <c:ptCount val="1"/>
                <c:pt idx="0">
                  <c:v>Χρέος προς ίδια κεφάλαια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2'!$J$106:$K$106</c:f>
              <c:numCache>
                <c:formatCode>#,##0.00</c:formatCode>
                <c:ptCount val="2"/>
                <c:pt idx="0">
                  <c:v>3.9919173525625782</c:v>
                </c:pt>
                <c:pt idx="1">
                  <c:v>3.5314460628282149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F-4C99-968C-D1726C1B2F3D}"/>
            </c:ext>
          </c:extLst>
        </c:ser>
        <c:ser>
          <c:idx val="0"/>
          <c:order val="3"/>
          <c:tx>
            <c:strRef>
              <c:f>'ΚΕΦΑΛΑΙΟ 2'!$B$94</c:f>
              <c:strCache>
                <c:ptCount val="1"/>
                <c:pt idx="0">
                  <c:v>Xρηματοοικονομική μόχλευση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2'!$J$94:$K$94</c:f>
              <c:numCache>
                <c:formatCode>#,##0.00</c:formatCode>
                <c:ptCount val="2"/>
                <c:pt idx="0">
                  <c:v>5.4892740970857794</c:v>
                </c:pt>
                <c:pt idx="1">
                  <c:v>1.8325595232941889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0F-4C99-968C-D1726C1B2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33848"/>
        <c:axId val="99032208"/>
      </c:barChart>
      <c:catAx>
        <c:axId val="9903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2208"/>
        <c:crosses val="autoZero"/>
        <c:auto val="1"/>
        <c:lblAlgn val="ctr"/>
        <c:lblOffset val="100"/>
        <c:noMultiLvlLbl val="0"/>
      </c:catAx>
      <c:valAx>
        <c:axId val="99032208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3848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ΑΡΙΘΜΟΔΕΙΚΤΕΣ ΒΙΩΣΙΜΟΤΗΤΑΣ Η' ΚΑΛΥΨΗΣ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SANI AE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ΠΡΟ&amp;ΕΝ ΜΕΣΩ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ΚΑΙ ΜΕΤΑ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COVID </a:t>
            </a:r>
            <a:endParaRPr lang="el-GR" sz="1100" b="1" u="dbl" spc="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'ΚΕΦΑΛΑΙΟ 2'!$B$88</c:f>
              <c:strCache>
                <c:ptCount val="1"/>
                <c:pt idx="0">
                  <c:v>Φορές που κερδίζονται οι τόκοι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2'!$J$88:$K$88</c:f>
              <c:numCache>
                <c:formatCode>#,##0.00</c:formatCode>
                <c:ptCount val="2"/>
                <c:pt idx="0">
                  <c:v>2.3062657599567542</c:v>
                </c:pt>
                <c:pt idx="1">
                  <c:v>2.7866380888294771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C-416A-8347-852F3DC068B3}"/>
            </c:ext>
          </c:extLst>
        </c:ser>
        <c:ser>
          <c:idx val="0"/>
          <c:order val="1"/>
          <c:tx>
            <c:strRef>
              <c:f>'ΚΕΦΑΛΑΙΟ 2'!$B$91</c:f>
              <c:strCache>
                <c:ptCount val="1"/>
                <c:pt idx="0">
                  <c:v>Κάλυψη τόκων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2'!$J$91:$K$91</c:f>
              <c:numCache>
                <c:formatCode>#,##0.00</c:formatCode>
                <c:ptCount val="2"/>
                <c:pt idx="0">
                  <c:v>1.2497947637549456</c:v>
                </c:pt>
                <c:pt idx="1">
                  <c:v>2.1676122023028941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C-416A-8347-852F3DC06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33848"/>
        <c:axId val="99032208"/>
      </c:barChart>
      <c:catAx>
        <c:axId val="9903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2208"/>
        <c:crosses val="autoZero"/>
        <c:auto val="1"/>
        <c:lblAlgn val="ctr"/>
        <c:lblOffset val="100"/>
        <c:noMultiLvlLbl val="0"/>
      </c:catAx>
      <c:valAx>
        <c:axId val="99032208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3848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ΑΡΙΘΜΟΔΕΙΚΤΕΣ ΕΠΕΝΔΥΤΗ 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SANI AE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ΠΡΟ&amp;ΕΝ ΜΕΣΩ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ΚΑΙ ΜΕΤΑ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COVID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'ΚΕΦΑΛΑΙΟ 2'!$B$109</c:f>
              <c:strCache>
                <c:ptCount val="1"/>
                <c:pt idx="0">
                  <c:v>Πληρωμή μερίσματος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2'!$J$109:$K$109</c:f>
              <c:numCache>
                <c:formatCode>#,##0.00</c:formatCode>
                <c:ptCount val="2"/>
                <c:pt idx="0">
                  <c:v>0</c:v>
                </c:pt>
                <c:pt idx="1">
                  <c:v>0.14233622278237854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77-4B3D-A194-86EBD764C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33848"/>
        <c:axId val="99032208"/>
      </c:barChart>
      <c:catAx>
        <c:axId val="9903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2208"/>
        <c:crosses val="autoZero"/>
        <c:auto val="1"/>
        <c:lblAlgn val="ctr"/>
        <c:lblOffset val="100"/>
        <c:noMultiLvlLbl val="0"/>
      </c:catAx>
      <c:valAx>
        <c:axId val="99032208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3848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ΑΡΙΘΜΟΔΕΙΚΤΕΣ ΒΙΩΣΙΜΟΤΗΤΑΣ Η' ΚΑΛΥΨΗΣ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SANI AE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ΠΡΟ&amp;ΕΝ ΜΕΣΩ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ΚΑΙ ΜΕΤΑ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COVID </a:t>
            </a:r>
            <a:endParaRPr lang="el-GR" sz="1100" b="1" u="dbl" spc="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'ΚΕΦΑΛΑΙΟ 2'!$B$88</c:f>
              <c:strCache>
                <c:ptCount val="1"/>
                <c:pt idx="0">
                  <c:v>Φορές που κερδίζονται οι τόκοι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2'!$J$88:$K$88</c:f>
              <c:numCache>
                <c:formatCode>#,##0.00</c:formatCode>
                <c:ptCount val="2"/>
                <c:pt idx="0">
                  <c:v>2.3062657599567542</c:v>
                </c:pt>
                <c:pt idx="1">
                  <c:v>2.7866380888294771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63-4854-80AC-53AB01E4EA5A}"/>
            </c:ext>
          </c:extLst>
        </c:ser>
        <c:ser>
          <c:idx val="0"/>
          <c:order val="1"/>
          <c:tx>
            <c:strRef>
              <c:f>'ΚΕΦΑΛΑΙΟ 2'!$B$91</c:f>
              <c:strCache>
                <c:ptCount val="1"/>
                <c:pt idx="0">
                  <c:v>Κάλυψη τόκων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2'!$J$91:$K$91</c:f>
              <c:numCache>
                <c:formatCode>#,##0.00</c:formatCode>
                <c:ptCount val="2"/>
                <c:pt idx="0">
                  <c:v>1.2497947637549456</c:v>
                </c:pt>
                <c:pt idx="1">
                  <c:v>2.1676122023028941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63-4854-80AC-53AB01E4E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33848"/>
        <c:axId val="99032208"/>
      </c:barChart>
      <c:catAx>
        <c:axId val="9903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2208"/>
        <c:crosses val="autoZero"/>
        <c:auto val="1"/>
        <c:lblAlgn val="ctr"/>
        <c:lblOffset val="100"/>
        <c:noMultiLvlLbl val="0"/>
      </c:catAx>
      <c:valAx>
        <c:axId val="99032208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3848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ΔΕΙΚΤΕΣ ΥΠΟΔΕΙΓΜΑΤΩΝ ΠΙΣΤΩΤΙΚΟΥ ΚΙΝΔΥΝΟΥ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SANI AE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ΠΡΟ&amp;ΕΝ ΜΕΣΩ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ΚΑΙ ΜΕΤΑ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COVID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'ΚΕΦΑΛΑΙΟ 2'!$B$116</c:f>
              <c:strCache>
                <c:ptCount val="1"/>
                <c:pt idx="0">
                  <c:v>PHP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2'!$J$116:$K$116</c:f>
              <c:numCache>
                <c:formatCode>#,##0.00</c:formatCode>
                <c:ptCount val="2"/>
                <c:pt idx="0">
                  <c:v>12.184377956798842</c:v>
                </c:pt>
                <c:pt idx="1">
                  <c:v>12.628012011718218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E55-940D-96E6F5EDEA38}"/>
            </c:ext>
          </c:extLst>
        </c:ser>
        <c:ser>
          <c:idx val="0"/>
          <c:order val="1"/>
          <c:tx>
            <c:strRef>
              <c:f>'ΚΕΦΑΛΑΙΟ 2'!$B$121</c:f>
              <c:strCache>
                <c:ptCount val="1"/>
                <c:pt idx="0">
                  <c:v>Ζ-score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2'!$J$121:$K$121</c:f>
              <c:numCache>
                <c:formatCode>#,##0.00</c:formatCode>
                <c:ptCount val="2"/>
                <c:pt idx="0">
                  <c:v>0.60967253859500892</c:v>
                </c:pt>
                <c:pt idx="1">
                  <c:v>0.73470227956387535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29-4E55-940D-96E6F5EDE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33848"/>
        <c:axId val="99032208"/>
      </c:barChart>
      <c:catAx>
        <c:axId val="9903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2208"/>
        <c:crosses val="autoZero"/>
        <c:auto val="1"/>
        <c:lblAlgn val="ctr"/>
        <c:lblOffset val="100"/>
        <c:noMultiLvlLbl val="0"/>
      </c:catAx>
      <c:valAx>
        <c:axId val="99032208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3848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050" b="1" u="sng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ΚΑΜΠΥΛΗ ΠΡΟΣΦΟΡΑΣ </a:t>
            </a:r>
            <a:r>
              <a:rPr lang="en-US" sz="1050" b="1" u="sng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l-GR" sz="1050" b="1" u="sng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ΞΕΝΟΔΟΧΕΙΑΚΩΝ ΥΠΗΡΕΣΙΩΝ ΣΤΗΝ ΕΛΛΑΔΑ (2018-2024)</a:t>
            </a:r>
            <a:endParaRPr lang="en-US" sz="1050" b="1" u="sng" spc="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716174065198373"/>
          <c:y val="2.3148148148148147E-2"/>
        </c:manualLayout>
      </c:layout>
      <c:overlay val="0"/>
      <c:spPr>
        <a:solidFill>
          <a:srgbClr val="00B0F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31760660352238573"/>
          <c:y val="0.18097222222222226"/>
          <c:w val="0.42087165734717941"/>
          <c:h val="0.57794728783902016"/>
        </c:manualLayout>
      </c:layout>
      <c:scatterChart>
        <c:scatterStyle val="lineMarker"/>
        <c:varyColors val="0"/>
        <c:ser>
          <c:idx val="0"/>
          <c:order val="0"/>
          <c:tx>
            <c:v>ΚΑΜΠΥΛΗ ΠΡΟΣΦΟΡΑΣ S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rgbClr val="00206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'ΚΕΦΑΛΑΙΟ 1'!$K$28:$K$34</c:f>
              <c:numCache>
                <c:formatCode>#,##0</c:formatCode>
                <c:ptCount val="7"/>
                <c:pt idx="0">
                  <c:v>809555</c:v>
                </c:pt>
                <c:pt idx="1">
                  <c:v>841114</c:v>
                </c:pt>
                <c:pt idx="2">
                  <c:v>626027</c:v>
                </c:pt>
                <c:pt idx="3">
                  <c:v>675031</c:v>
                </c:pt>
                <c:pt idx="4">
                  <c:v>905281</c:v>
                </c:pt>
                <c:pt idx="5">
                  <c:v>901452</c:v>
                </c:pt>
                <c:pt idx="6">
                  <c:v>906866</c:v>
                </c:pt>
              </c:numCache>
            </c:numRef>
          </c:xVal>
          <c:yVal>
            <c:numRef>
              <c:f>'ΚΕΦΑΛΑΙΟ 1'!$I$28:$I$34</c:f>
              <c:numCache>
                <c:formatCode>General</c:formatCode>
                <c:ptCount val="7"/>
                <c:pt idx="0">
                  <c:v>112.71</c:v>
                </c:pt>
                <c:pt idx="1">
                  <c:v>116.52</c:v>
                </c:pt>
                <c:pt idx="2">
                  <c:v>97.22</c:v>
                </c:pt>
                <c:pt idx="3">
                  <c:v>96.14</c:v>
                </c:pt>
                <c:pt idx="4">
                  <c:v>124.37</c:v>
                </c:pt>
                <c:pt idx="5">
                  <c:v>142.96</c:v>
                </c:pt>
                <c:pt idx="6">
                  <c:v>138.01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837-4C70-9EDF-E053A6879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586008"/>
        <c:axId val="721586336"/>
      </c:scatterChart>
      <c:valAx>
        <c:axId val="721586008"/>
        <c:scaling>
          <c:orientation val="minMax"/>
          <c:min val="60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ΠΡΟΣΦΕΡΟΜΕΝΗ</a:t>
                </a:r>
                <a:r>
                  <a:rPr lang="el-GR" sz="9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ΠΟΣΟΤΗΤΑ</a:t>
                </a:r>
                <a:r>
                  <a:rPr lang="en-US" sz="9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l-GR" sz="9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ΚΛΙΝΩΝ ΓΙΑ </a:t>
                </a:r>
              </a:p>
              <a:p>
                <a:pPr>
                  <a:defRPr/>
                </a:pPr>
                <a:r>
                  <a:rPr lang="el-GR" sz="9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ΔΙΑΝΥΚΤΕΡΕΥΣΗ </a:t>
                </a:r>
                <a:r>
                  <a:rPr lang="en-US" sz="9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Qs</a:t>
                </a:r>
                <a:endParaRPr lang="el-GR" sz="900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038516109399369"/>
              <c:y val="0.86574074074074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w Cen MT Condensed Extra Bold" panose="020B0803020202020204" pitchFamily="34" charset="0"/>
                <a:ea typeface="+mn-ea"/>
                <a:cs typeface="+mn-cs"/>
              </a:defRPr>
            </a:pPr>
            <a:endParaRPr lang="el-GR"/>
          </a:p>
        </c:txPr>
        <c:crossAx val="721586336"/>
        <c:crosses val="autoZero"/>
        <c:crossBetween val="midCat"/>
      </c:valAx>
      <c:valAx>
        <c:axId val="72158633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ΤΙΜΗ ΑΝΑ ΔΙΑΝΥΚΤΕΡΕΥΣΗ</a:t>
                </a:r>
              </a:p>
            </c:rich>
          </c:tx>
          <c:layout>
            <c:manualLayout>
              <c:xMode val="edge"/>
              <c:yMode val="edge"/>
              <c:x val="2.9239035337974058E-2"/>
              <c:y val="0.401219014289880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#,##0\ &quot;€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w Cen MT Condensed Extra Bold" panose="020B0803020202020204" pitchFamily="34" charset="0"/>
                <a:ea typeface="+mn-ea"/>
                <a:cs typeface="+mn-cs"/>
              </a:defRPr>
            </a:pPr>
            <a:endParaRPr lang="el-GR"/>
          </a:p>
        </c:txPr>
        <c:crossAx val="721586008"/>
        <c:crosses val="autoZero"/>
        <c:crossBetween val="midCat"/>
      </c:valAx>
      <c:spPr>
        <a:solidFill>
          <a:srgbClr val="00B0F0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714595458176415"/>
          <c:y val="0.18336759988334791"/>
          <c:w val="0.20662216136026476"/>
          <c:h val="0.56886628754738988"/>
        </c:manualLayout>
      </c:layout>
      <c:overlay val="0"/>
      <c:spPr>
        <a:solidFill>
          <a:srgbClr val="00B0F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050" b="1" u="sng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ΕΛΑΣΤΙΚΟΤΗΤΑ ΠΡΟΣΦΟΡΑΣ </a:t>
            </a:r>
            <a:r>
              <a:rPr lang="en-US" sz="1050" b="1" u="sng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 </a:t>
            </a:r>
            <a:r>
              <a:rPr lang="el-GR" sz="1050" b="1" u="sng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ΞΕΝΟΔΟΧΕΙΑΚΩΝ ΥΠΗΡΕΣΙΩΝ ΣΤΗΝ ΕΛΛΑΔΑ (2018-2021)</a:t>
            </a:r>
            <a:endParaRPr lang="en-US" sz="1050" b="1" u="sng" spc="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6.8972121728027233E-2"/>
          <c:y val="6.0185185185185182E-2"/>
        </c:manualLayout>
      </c:layout>
      <c:overlay val="0"/>
      <c:spPr>
        <a:solidFill>
          <a:srgbClr val="00B0F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9.6734033245844273E-2"/>
          <c:y val="0.2649307378244386"/>
          <c:w val="0.62881714785651788"/>
          <c:h val="0.61315580344123655"/>
        </c:manualLayout>
      </c:layout>
      <c:barChart>
        <c:barDir val="col"/>
        <c:grouping val="clustered"/>
        <c:varyColors val="0"/>
        <c:ser>
          <c:idx val="0"/>
          <c:order val="0"/>
          <c:tx>
            <c:v>ΕΛΑΣΤΙΚΟΤΗΤΑ ΠΡΟΣΦΟΡΑΣ Εs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w Cen MT Condensed Extra Bold" panose="020B0803020202020204" pitchFamily="34" charset="0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'ΚΕΦΑΛΑΙΟ 1'!$N$28:$N$32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ΜΕΣΟΣ</c:v>
                </c:pt>
              </c:strCache>
            </c:strRef>
          </c:cat>
          <c:val>
            <c:numRef>
              <c:f>'ΚΕΦΑΛΑΙΟ 1'!$M$28:$M$32</c:f>
              <c:numCache>
                <c:formatCode>0.00</c:formatCode>
                <c:ptCount val="5"/>
                <c:pt idx="0">
                  <c:v>1.3388980653364164</c:v>
                </c:pt>
                <c:pt idx="1">
                  <c:v>1.3322233396560696</c:v>
                </c:pt>
                <c:pt idx="2">
                  <c:v>1.4934613096938327</c:v>
                </c:pt>
                <c:pt idx="3">
                  <c:v>1.3696570072284941</c:v>
                </c:pt>
                <c:pt idx="4">
                  <c:v>1.3768113948088887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C-44FE-92E2-C6808DDD1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1534824"/>
        <c:axId val="721540400"/>
      </c:barChart>
      <c:catAx>
        <c:axId val="72153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 Condensed Extra Bold" panose="020B0803020202020204" pitchFamily="34" charset="0"/>
                <a:ea typeface="+mn-ea"/>
                <a:cs typeface="+mn-cs"/>
              </a:defRPr>
            </a:pPr>
            <a:endParaRPr lang="el-GR"/>
          </a:p>
        </c:txPr>
        <c:crossAx val="721540400"/>
        <c:crosses val="autoZero"/>
        <c:auto val="1"/>
        <c:lblAlgn val="ctr"/>
        <c:lblOffset val="100"/>
        <c:noMultiLvlLbl val="0"/>
      </c:catAx>
      <c:valAx>
        <c:axId val="72154040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 Condensed Extra Bold" panose="020B0803020202020204" pitchFamily="34" charset="0"/>
                <a:ea typeface="+mn-ea"/>
                <a:cs typeface="+mn-cs"/>
              </a:defRPr>
            </a:pPr>
            <a:endParaRPr lang="el-GR"/>
          </a:p>
        </c:txPr>
        <c:crossAx val="721534824"/>
        <c:crosses val="autoZero"/>
        <c:crossBetween val="between"/>
      </c:valAx>
      <c:spPr>
        <a:solidFill>
          <a:srgbClr val="00B0F0"/>
        </a:solidFill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l-GR"/>
          </a:p>
        </c:txPr>
      </c:legendEntry>
      <c:layout>
        <c:manualLayout>
          <c:xMode val="edge"/>
          <c:yMode val="edge"/>
          <c:x val="0.75055118110236219"/>
          <c:y val="0.29045093321668125"/>
          <c:w val="0.21611548556430446"/>
          <c:h val="0.58680664916885394"/>
        </c:manualLayout>
      </c:layout>
      <c:overlay val="0"/>
      <c:spPr>
        <a:solidFill>
          <a:srgbClr val="00B0F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050" b="1" u="sng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ΚΑΜΠΥΛΕΣ ΖΗΤΗΣΗΣ </a:t>
            </a:r>
            <a:r>
              <a:rPr lang="en-US" sz="1050" b="1" u="sng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</a:t>
            </a:r>
            <a:r>
              <a:rPr lang="el-GR" sz="1050" b="1" u="sng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ΥΠΗΡΕΣΙΩΝ ΔΙΑΜΟΝΗΣ ΚΑΙ ΦΙΛΟΞΕΝΙΑΣ ΣΕ ΞΕΝΟΔΟΧΕΙΑΚΕΣ ΜΟΝΑΔΕΣ ΣΤΗΝ ΕΛΛΑΔΑ (2018-2024)</a:t>
            </a:r>
            <a:endParaRPr lang="en-US" sz="1050" b="1" u="sng" spc="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716174065198373"/>
          <c:y val="2.3148148148148147E-2"/>
        </c:manualLayout>
      </c:layout>
      <c:overlay val="0"/>
      <c:spPr>
        <a:solidFill>
          <a:srgbClr val="00B0F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33934573395716833"/>
          <c:y val="0.23652777777777778"/>
          <c:w val="0.42328711628437748"/>
          <c:h val="0.51776210265383493"/>
        </c:manualLayout>
      </c:layout>
      <c:scatterChart>
        <c:scatterStyle val="smoothMarker"/>
        <c:varyColors val="0"/>
        <c:ser>
          <c:idx val="0"/>
          <c:order val="0"/>
          <c:tx>
            <c:v>D1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44D-4ED9-8B51-33E90F891EFD}"/>
              </c:ext>
            </c:extLst>
          </c:dPt>
          <c:xVal>
            <c:numRef>
              <c:f>'ΚΕΦΑΛΑΙΟ 1'!$Z$16:$Z$17</c:f>
              <c:numCache>
                <c:formatCode>#,##0</c:formatCode>
                <c:ptCount val="2"/>
                <c:pt idx="0">
                  <c:v>18741700.844608404</c:v>
                </c:pt>
                <c:pt idx="1">
                  <c:v>0</c:v>
                </c:pt>
              </c:numCache>
            </c:numRef>
          </c:xVal>
          <c:yVal>
            <c:numRef>
              <c:f>'ΚΕΦΑΛΑΙΟ 1'!$Y$16:$Y$17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251.67880083836022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4D-4ED9-8B51-33E90F891EFD}"/>
            </c:ext>
          </c:extLst>
        </c:ser>
        <c:ser>
          <c:idx val="1"/>
          <c:order val="1"/>
          <c:tx>
            <c:v>D2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'ΚΕΦΑΛΑΙΟ 1'!$AA$16:$AA$17</c:f>
              <c:numCache>
                <c:formatCode>#,##0</c:formatCode>
                <c:ptCount val="2"/>
                <c:pt idx="0">
                  <c:v>23670770.768783242</c:v>
                </c:pt>
                <c:pt idx="1">
                  <c:v>0</c:v>
                </c:pt>
              </c:numCache>
            </c:numRef>
          </c:xVal>
          <c:yVal>
            <c:numRef>
              <c:f>'ΚΕΦΑΛΑΙΟ 1'!$AB$16:$AB$17</c:f>
              <c:numCache>
                <c:formatCode>General</c:formatCode>
                <c:ptCount val="2"/>
                <c:pt idx="0">
                  <c:v>0</c:v>
                </c:pt>
                <c:pt idx="1">
                  <c:v>317.87036040119619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44D-4ED9-8B51-33E90F891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1586008"/>
        <c:axId val="721586336"/>
      </c:scatterChart>
      <c:valAx>
        <c:axId val="721586008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ΖΗΤΟΥΜΕΝΗ</a:t>
                </a:r>
                <a:r>
                  <a:rPr lang="el-GR" sz="9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ΠΟΣΟΤΗΤΑ</a:t>
                </a:r>
                <a:r>
                  <a:rPr lang="en-US" sz="9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el-GR" sz="900" b="1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>
                  <a:defRPr/>
                </a:pPr>
                <a:r>
                  <a:rPr lang="el-GR" sz="9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ΔΙΑΝΥΚΤΕΡΕΥΣΕΩΝ </a:t>
                </a:r>
                <a:r>
                  <a:rPr lang="en-US" sz="9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Q</a:t>
                </a:r>
                <a:r>
                  <a:rPr lang="en-US" sz="900" b="1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</a:t>
                </a:r>
                <a:endParaRPr lang="el-GR" sz="900" b="1" baseline="-250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3428639354863241"/>
              <c:y val="0.84722222222222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w Cen MT Condensed Extra Bold" panose="020B0803020202020204" pitchFamily="34" charset="0"/>
                <a:ea typeface="+mn-ea"/>
                <a:cs typeface="+mn-cs"/>
              </a:defRPr>
            </a:pPr>
            <a:endParaRPr lang="el-GR"/>
          </a:p>
        </c:txPr>
        <c:crossAx val="721586336"/>
        <c:crosses val="autoZero"/>
        <c:crossBetween val="midCat"/>
      </c:valAx>
      <c:valAx>
        <c:axId val="72158633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ΤΙΜΗ ΑΝΑ ΔΙΑΝΥΚΤΕΡΕΥΣΗ</a:t>
                </a: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</a:t>
                </a:r>
                <a:endParaRPr lang="el-GR" sz="900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9239035337974058E-2"/>
              <c:y val="0.401219014289880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#,##0\ &quot;€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w Cen MT Condensed Extra Bold" panose="020B0803020202020204" pitchFamily="34" charset="0"/>
                <a:ea typeface="+mn-ea"/>
                <a:cs typeface="+mn-cs"/>
              </a:defRPr>
            </a:pPr>
            <a:endParaRPr lang="el-GR"/>
          </a:p>
        </c:txPr>
        <c:crossAx val="721586008"/>
        <c:crosses val="autoZero"/>
        <c:crossBetween val="midCat"/>
      </c:valAx>
      <c:spPr>
        <a:solidFill>
          <a:srgbClr val="00B0F0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317802936324489"/>
          <c:y val="0.33655915080927384"/>
          <c:w val="0.16687668394684496"/>
          <c:h val="0.27751770286526689"/>
        </c:manualLayout>
      </c:layout>
      <c:overlay val="0"/>
      <c:spPr>
        <a:solidFill>
          <a:srgbClr val="00B0F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100" b="1" u="sng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ΕΛΑΣΤΙΚΟΤΗΤΕΣ ΖΗΤΗΣΗΣ </a:t>
            </a:r>
            <a:r>
              <a:rPr lang="en-US" sz="1100" b="1" u="sng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 </a:t>
            </a:r>
            <a:r>
              <a:rPr lang="el-GR" sz="1100" b="1" u="sng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ΞΕΝΟΔΟΧΕΙΑΚΩΝ ΥΠΗΡΕΣΙΩΝ ΣΤΗΝ ΕΛΛΑΔΑ (2018-2024)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00B0F0"/>
        </a:solidFill>
        <a:ln>
          <a:noFill/>
        </a:ln>
        <a:effectLst/>
        <a:sp3d/>
      </c:spPr>
    </c:sideWall>
    <c:backWall>
      <c:thickness val="0"/>
      <c:spPr>
        <a:solidFill>
          <a:srgbClr val="00B0F0"/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ΕΛΑΣΤΙΚΟΤΗΤΑ ΖΗΤΗΣΗΣ ΩΣ ΠΡΟΣ ΤΙΜΗ</c:v>
          </c:tx>
          <c:spPr>
            <a:solidFill>
              <a:srgbClr val="7030A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w Cen MT Condensed Extra Bold" panose="020B0803020202020204" pitchFamily="34" charset="0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'ΚΕΦΑΛΑΙΟ 1'!$C$16:$C$22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'ΚΕΦΑΛΑΙΟ 1'!$N$16:$N$22</c:f>
              <c:numCache>
                <c:formatCode>0.00</c:formatCode>
                <c:ptCount val="7"/>
                <c:pt idx="0">
                  <c:v>-0.33844645908284077</c:v>
                </c:pt>
                <c:pt idx="1">
                  <c:v>-0.34933862284727374</c:v>
                </c:pt>
                <c:pt idx="2">
                  <c:v>-0.63181370952573201</c:v>
                </c:pt>
                <c:pt idx="3">
                  <c:v>-0.49300871332532498</c:v>
                </c:pt>
                <c:pt idx="4">
                  <c:v>-0.41242636694197987</c:v>
                </c:pt>
                <c:pt idx="5">
                  <c:v>-0.38959842825518032</c:v>
                </c:pt>
                <c:pt idx="6">
                  <c:v>-0.4080950648952052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8-4C14-A7C3-B6D54873C4AA}"/>
            </c:ext>
          </c:extLst>
        </c:ser>
        <c:ser>
          <c:idx val="1"/>
          <c:order val="1"/>
          <c:tx>
            <c:v>ΕΛΑΣΤΙΚΟΤΗΤΑ ΖΗΤΗΣΗΣ ΩΣ ΠΡΟΣ ΕΙΣΟΔΗΜΑ</c:v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w Cen MT Condensed Extra Bold" panose="020B0803020202020204" pitchFamily="34" charset="0"/>
                    <a:ea typeface="+mn-ea"/>
                    <a:cs typeface="+mn-cs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'ΚΕΦΑΛΑΙΟ 1'!$C$16:$C$22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'ΚΕΦΑΛΑΙΟ 1'!$P$16:$P$22</c:f>
              <c:numCache>
                <c:formatCode>0.00</c:formatCode>
                <c:ptCount val="7"/>
                <c:pt idx="0">
                  <c:v>0.26565144272104907</c:v>
                </c:pt>
                <c:pt idx="1">
                  <c:v>0.27659838789874736</c:v>
                </c:pt>
                <c:pt idx="2">
                  <c:v>0.58134408580195662</c:v>
                </c:pt>
                <c:pt idx="3">
                  <c:v>0.45754812600766254</c:v>
                </c:pt>
                <c:pt idx="4">
                  <c:v>0.35175899458640936</c:v>
                </c:pt>
                <c:pt idx="5">
                  <c:v>0.3296116957483981</c:v>
                </c:pt>
                <c:pt idx="6">
                  <c:v>0.34414337048445826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8-4C14-A7C3-B6D54873C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0815688"/>
        <c:axId val="630817984"/>
        <c:axId val="0"/>
      </c:bar3DChart>
      <c:catAx>
        <c:axId val="630815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 Condensed Extra Bold" panose="020B0803020202020204" pitchFamily="34" charset="0"/>
                <a:ea typeface="+mn-ea"/>
                <a:cs typeface="+mn-cs"/>
              </a:defRPr>
            </a:pPr>
            <a:endParaRPr lang="el-GR"/>
          </a:p>
        </c:txPr>
        <c:crossAx val="630817984"/>
        <c:crosses val="autoZero"/>
        <c:auto val="1"/>
        <c:lblAlgn val="ctr"/>
        <c:lblOffset val="100"/>
        <c:noMultiLvlLbl val="0"/>
      </c:catAx>
      <c:valAx>
        <c:axId val="630817984"/>
        <c:scaling>
          <c:orientation val="minMax"/>
          <c:max val="2"/>
          <c:min val="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 Condensed Extra Bold" panose="020B0803020202020204" pitchFamily="34" charset="0"/>
                <a:ea typeface="+mn-ea"/>
                <a:cs typeface="+mn-cs"/>
              </a:defRPr>
            </a:pPr>
            <a:endParaRPr lang="el-GR"/>
          </a:p>
        </c:txPr>
        <c:crossAx val="630815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344925634295707E-2"/>
          <c:y val="0.85069335083114628"/>
          <c:w val="0.84508770778652664"/>
          <c:h val="0.121528871391076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ΑΡΙΘΜΟΔΕΙΚΤΕΣ ΡΕΥΣΤΟΤΗΤΑΣ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SANI AE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ΠΡΟ&amp;ΕΝ ΜΕΣΩ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ΚΑΙ ΜΕΤΑ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COVID </a:t>
            </a:r>
            <a:endParaRPr lang="el-GR" sz="1100" b="1" u="dbl" spc="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'ΚΕΦΑΛΑΙΟ 2'!$B$4</c:f>
              <c:strCache>
                <c:ptCount val="1"/>
                <c:pt idx="0">
                  <c:v>Έμμεση Ρευστότητα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2'!$J$4:$K$4</c:f>
              <c:numCache>
                <c:formatCode>#,##0.00</c:formatCode>
                <c:ptCount val="2"/>
                <c:pt idx="0">
                  <c:v>1.1006116160541408</c:v>
                </c:pt>
                <c:pt idx="1">
                  <c:v>0.57339585449897523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9E-4E3C-B7F9-897ABC92C0BE}"/>
            </c:ext>
          </c:extLst>
        </c:ser>
        <c:ser>
          <c:idx val="5"/>
          <c:order val="1"/>
          <c:tx>
            <c:strRef>
              <c:f>'ΚΕΦΑΛΑΙΟ 2'!$B$7</c:f>
              <c:strCache>
                <c:ptCount val="1"/>
                <c:pt idx="0">
                  <c:v>Άμεση Ρευστότητα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2'!$J$7:$K$7</c:f>
              <c:numCache>
                <c:formatCode>#,##0.00</c:formatCode>
                <c:ptCount val="2"/>
                <c:pt idx="0">
                  <c:v>0.98135047737356573</c:v>
                </c:pt>
                <c:pt idx="1">
                  <c:v>0.5159406406950372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9E-4E3C-B7F9-897ABC92C0BE}"/>
            </c:ext>
          </c:extLst>
        </c:ser>
        <c:ser>
          <c:idx val="0"/>
          <c:order val="2"/>
          <c:tx>
            <c:strRef>
              <c:f>'ΚΕΦΑΛΑΙΟ 2'!$B$10</c:f>
              <c:strCache>
                <c:ptCount val="1"/>
                <c:pt idx="0">
                  <c:v>Απόλυτη ρευστότητα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2'!$J$10:$K$10</c:f>
              <c:numCache>
                <c:formatCode>#,##0.00</c:formatCode>
                <c:ptCount val="2"/>
                <c:pt idx="0">
                  <c:v>0.54844057199467411</c:v>
                </c:pt>
                <c:pt idx="1">
                  <c:v>0.23446868887890049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B9E-4E3C-B7F9-897ABC92C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33848"/>
        <c:axId val="99032208"/>
      </c:barChart>
      <c:catAx>
        <c:axId val="9903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2208"/>
        <c:crosses val="autoZero"/>
        <c:auto val="1"/>
        <c:lblAlgn val="ctr"/>
        <c:lblOffset val="100"/>
        <c:noMultiLvlLbl val="0"/>
      </c:catAx>
      <c:valAx>
        <c:axId val="99032208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3848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ΑΡΙΘΜΟΔΕΙΚΤΕΣ ΡΕΥΣΤΟΤΗΤΑΣ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SANI AE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ΠΡΟ&amp;ΕΝ ΜΕΣΩ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ΚΑΙ ΜΕΤΑ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COVID </a:t>
            </a:r>
            <a:endParaRPr lang="el-GR" sz="1100" b="1" u="dbl" spc="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'ΚΕΦΑΛΑΙΟ 2'!$B$12</c:f>
              <c:strCache>
                <c:ptCount val="1"/>
                <c:pt idx="0">
                  <c:v>Λειτουργική Ταμειακή Ρευστότητα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2'!$J$12:$K$12</c:f>
              <c:numCache>
                <c:formatCode>#,##0.00</c:formatCode>
                <c:ptCount val="2"/>
                <c:pt idx="0">
                  <c:v>0.63662049088796002</c:v>
                </c:pt>
                <c:pt idx="1">
                  <c:v>1.264215995098936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B3-4F13-A79B-5A0942F39FC9}"/>
            </c:ext>
          </c:extLst>
        </c:ser>
        <c:ser>
          <c:idx val="3"/>
          <c:order val="1"/>
          <c:tx>
            <c:strRef>
              <c:f>'ΚΕΦΑΛΑΙΟ 2'!$B$16</c:f>
              <c:strCache>
                <c:ptCount val="1"/>
                <c:pt idx="0">
                  <c:v>Κάλυψη τόκων με μετρητά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2'!$J$16:$K$16</c:f>
              <c:numCache>
                <c:formatCode>#,##0.00</c:formatCode>
                <c:ptCount val="2"/>
                <c:pt idx="0">
                  <c:v>1.6977363416364377</c:v>
                </c:pt>
                <c:pt idx="1">
                  <c:v>3.0501797304299498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B3-4F13-A79B-5A0942F39FC9}"/>
            </c:ext>
          </c:extLst>
        </c:ser>
        <c:ser>
          <c:idx val="4"/>
          <c:order val="2"/>
          <c:tx>
            <c:strRef>
              <c:f>'ΚΕΦΑΛΑΙΟ 2'!$B$19</c:f>
              <c:strCache>
                <c:ptCount val="1"/>
                <c:pt idx="0">
                  <c:v>Ταμειακή αποδοτικότητα απασχολούμενων κεφαλαίων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2'!$J$19:$K$19</c:f>
              <c:numCache>
                <c:formatCode>#,##0.00</c:formatCode>
                <c:ptCount val="2"/>
                <c:pt idx="0">
                  <c:v>4.7390469861575378E-2</c:v>
                </c:pt>
                <c:pt idx="1">
                  <c:v>0.1487847737765127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B3-4F13-A79B-5A0942F39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33848"/>
        <c:axId val="99032208"/>
      </c:barChart>
      <c:catAx>
        <c:axId val="9903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2208"/>
        <c:crosses val="autoZero"/>
        <c:auto val="1"/>
        <c:lblAlgn val="ctr"/>
        <c:lblOffset val="100"/>
        <c:noMultiLvlLbl val="0"/>
      </c:catAx>
      <c:valAx>
        <c:axId val="99032208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3848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ΑΡΙΘΜΟΔΕΙΚΤΕΣ ΡΕΥΣΤΟΤΗΤΑΣ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SANI AE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ΠΡΟ&amp;ΕΝ ΜΕΣΩ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ΚΑΙ ΜΕΤΑ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COVID </a:t>
            </a:r>
            <a:endParaRPr lang="el-GR" sz="1100" b="1" u="dbl" spc="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'ΚΕΦΑΛΑΙΟ 2'!$B$27</c:f>
              <c:strCache>
                <c:ptCount val="1"/>
                <c:pt idx="0">
                  <c:v>Αμυντικό Διάστημα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2'!$J$27:$K$27</c:f>
              <c:numCache>
                <c:formatCode>#,##0</c:formatCode>
                <c:ptCount val="2"/>
                <c:pt idx="0">
                  <c:v>105.56998286190714</c:v>
                </c:pt>
                <c:pt idx="1">
                  <c:v>60.486539487199956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EB-41E5-A4E4-C71593CFC1D7}"/>
            </c:ext>
          </c:extLst>
        </c:ser>
        <c:ser>
          <c:idx val="4"/>
          <c:order val="1"/>
          <c:tx>
            <c:strRef>
              <c:f>'ΚΕΦΑΛΑΙΟ 2'!$B$31</c:f>
              <c:strCache>
                <c:ptCount val="1"/>
                <c:pt idx="0">
                  <c:v>Ημέρες με μετρητά στο Χέρι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2'!$J$31:$K$31</c:f>
              <c:numCache>
                <c:formatCode>#,##0</c:formatCode>
                <c:ptCount val="2"/>
                <c:pt idx="0">
                  <c:v>79.706962143749905</c:v>
                </c:pt>
                <c:pt idx="1">
                  <c:v>37.511566289974049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EB-41E5-A4E4-C71593CFC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33848"/>
        <c:axId val="99032208"/>
      </c:barChart>
      <c:catAx>
        <c:axId val="9903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2208"/>
        <c:crosses val="autoZero"/>
        <c:auto val="1"/>
        <c:lblAlgn val="ctr"/>
        <c:lblOffset val="100"/>
        <c:noMultiLvlLbl val="0"/>
      </c:catAx>
      <c:valAx>
        <c:axId val="990322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3848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ΑΡΙΘΜΟΔΕΙΚΤΕΣ ΔΡΑΣΤΗΡΙΟΤΗΤΑΣ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SANI AE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ΠΡΟ&amp;ΕΝ ΜΕΣΩ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ΚΑΙ ΜΕΤΑ 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COVID</a:t>
            </a:r>
            <a:r>
              <a:rPr lang="el-GR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ΣΧΕΤΙΖΟΜΕΝΟΙ ΜΕ ΑΡΙΘΜΟΔΕΙΚΤΕΣ ΡΕΥΣΤΟΤΗΤΑΣ</a:t>
            </a:r>
            <a:r>
              <a:rPr lang="en-US" sz="1100" b="1" u="dbl" spc="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l-GR" sz="1100" b="1" u="dbl" spc="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'ΚΕΦΑΛΑΙΟ 2'!$B$36</c:f>
              <c:strCache>
                <c:ptCount val="1"/>
                <c:pt idx="0">
                  <c:v>Μέση ηλικία αποθεμάτων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2'!$J$36:$K$36</c:f>
              <c:numCache>
                <c:formatCode>#,##0</c:formatCode>
                <c:ptCount val="2"/>
                <c:pt idx="0">
                  <c:v>19.063965284677376</c:v>
                </c:pt>
                <c:pt idx="1">
                  <c:v>12.170803843667594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43-4AFB-9618-F3AC23351FFE}"/>
            </c:ext>
          </c:extLst>
        </c:ser>
        <c:ser>
          <c:idx val="2"/>
          <c:order val="1"/>
          <c:tx>
            <c:strRef>
              <c:f>'ΚΕΦΑΛΑΙΟ 2'!$B$41</c:f>
              <c:strCache>
                <c:ptCount val="1"/>
                <c:pt idx="0">
                  <c:v>Μέση ηλικία απαιτήσεων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2'!$J$41:$K$41</c:f>
              <c:numCache>
                <c:formatCode>#,##0</c:formatCode>
                <c:ptCount val="2"/>
                <c:pt idx="0">
                  <c:v>69.718694861327236</c:v>
                </c:pt>
                <c:pt idx="1">
                  <c:v>27.009535857989864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43-4AFB-9618-F3AC23351FFE}"/>
            </c:ext>
          </c:extLst>
        </c:ser>
        <c:ser>
          <c:idx val="5"/>
          <c:order val="2"/>
          <c:tx>
            <c:strRef>
              <c:f>'ΚΕΦΑΛΑΙΟ 2'!$B$46</c:f>
              <c:strCache>
                <c:ptCount val="1"/>
                <c:pt idx="0">
                  <c:v>Μέση ηλικία προμηθευτών</c:v>
                </c:pt>
              </c:strCache>
            </c:strRef>
          </c:tx>
          <c:spPr>
            <a:solidFill>
              <a:srgbClr val="9900FF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2'!$J$46:$K$46</c:f>
              <c:numCache>
                <c:formatCode>#,##0</c:formatCode>
                <c:ptCount val="2"/>
                <c:pt idx="0">
                  <c:v>107.20682928966797</c:v>
                </c:pt>
                <c:pt idx="1">
                  <c:v>90.096237223696633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43-4AFB-9618-F3AC23351FFE}"/>
            </c:ext>
          </c:extLst>
        </c:ser>
        <c:ser>
          <c:idx val="6"/>
          <c:order val="3"/>
          <c:tx>
            <c:strRef>
              <c:f>'ΚΕΦΑΛΑΙΟ 2'!$B$51</c:f>
              <c:strCache>
                <c:ptCount val="1"/>
                <c:pt idx="0">
                  <c:v>Εμπορικός κύκλος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2'!$J$51:$K$51</c:f>
              <c:numCache>
                <c:formatCode>#,##0</c:formatCode>
                <c:ptCount val="2"/>
                <c:pt idx="0">
                  <c:v>88.782660146004616</c:v>
                </c:pt>
                <c:pt idx="1">
                  <c:v>39.180339701657459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43-4AFB-9618-F3AC23351FFE}"/>
            </c:ext>
          </c:extLst>
        </c:ser>
        <c:ser>
          <c:idx val="7"/>
          <c:order val="4"/>
          <c:tx>
            <c:strRef>
              <c:f>'ΚΕΦΑΛΑΙΟ 2'!$B$52</c:f>
              <c:strCache>
                <c:ptCount val="1"/>
                <c:pt idx="0">
                  <c:v>Κύκλος ρευστότητας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'ΚΕΦΑΛΑΙΟ 2'!$J$1:$K$1</c:f>
              <c:strCache>
                <c:ptCount val="2"/>
                <c:pt idx="0">
                  <c:v>PRO &amp; COVID</c:v>
                </c:pt>
                <c:pt idx="1">
                  <c:v>POST COVID</c:v>
                </c:pt>
              </c:strCache>
            </c:strRef>
          </c:cat>
          <c:val>
            <c:numRef>
              <c:f>'ΚΕΦΑΛΑΙΟ 2'!$J$52:$K$52</c:f>
              <c:numCache>
                <c:formatCode>#,##0</c:formatCode>
                <c:ptCount val="2"/>
                <c:pt idx="0">
                  <c:v>-18.424169143663342</c:v>
                </c:pt>
                <c:pt idx="1">
                  <c:v>-50.915897522039188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43-4AFB-9618-F3AC23351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33848"/>
        <c:axId val="99032208"/>
      </c:barChart>
      <c:catAx>
        <c:axId val="9903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2208"/>
        <c:crosses val="autoZero"/>
        <c:auto val="1"/>
        <c:lblAlgn val="ctr"/>
        <c:lblOffset val="100"/>
        <c:noMultiLvlLbl val="0"/>
      </c:catAx>
      <c:valAx>
        <c:axId val="990322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Microsoft YaHei UI" panose="020B0503020204020204" pitchFamily="34" charset="-122"/>
                <a:cs typeface="Arial" panose="020B0604020202020204" pitchFamily="34" charset="0"/>
              </a:defRPr>
            </a:pPr>
            <a:endParaRPr lang="el-GR"/>
          </a:p>
        </c:txPr>
        <c:crossAx val="99033848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12" Type="http://schemas.openxmlformats.org/officeDocument/2006/relationships/chart" Target="../charts/chart17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5" Type="http://schemas.openxmlformats.org/officeDocument/2006/relationships/chart" Target="../charts/chart10.xml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53</xdr:row>
      <xdr:rowOff>41910</xdr:rowOff>
    </xdr:from>
    <xdr:to>
      <xdr:col>7</xdr:col>
      <xdr:colOff>144780</xdr:colOff>
      <xdr:row>69</xdr:row>
      <xdr:rowOff>102870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408EF4F9-ED10-4BD4-B5C0-B2D8F2C4E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548640</xdr:colOff>
      <xdr:row>34</xdr:row>
      <xdr:rowOff>57150</xdr:rowOff>
    </xdr:from>
    <xdr:to>
      <xdr:col>16</xdr:col>
      <xdr:colOff>396240</xdr:colOff>
      <xdr:row>50</xdr:row>
      <xdr:rowOff>118110</xdr:rowOff>
    </xdr:to>
    <xdr:graphicFrame macro="">
      <xdr:nvGraphicFramePr>
        <xdr:cNvPr id="4" name="Γράφημα 3">
          <a:extLst>
            <a:ext uri="{FF2B5EF4-FFF2-40B4-BE49-F238E27FC236}">
              <a16:creationId xmlns:a16="http://schemas.microsoft.com/office/drawing/2014/main" id="{F4E0DC98-7230-4B55-BA86-7E70A3002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693420</xdr:colOff>
      <xdr:row>52</xdr:row>
      <xdr:rowOff>26670</xdr:rowOff>
    </xdr:from>
    <xdr:to>
      <xdr:col>15</xdr:col>
      <xdr:colOff>464820</xdr:colOff>
      <xdr:row>68</xdr:row>
      <xdr:rowOff>87630</xdr:rowOff>
    </xdr:to>
    <xdr:graphicFrame macro="">
      <xdr:nvGraphicFramePr>
        <xdr:cNvPr id="5" name="Γράφημα 4">
          <a:extLst>
            <a:ext uri="{FF2B5EF4-FFF2-40B4-BE49-F238E27FC236}">
              <a16:creationId xmlns:a16="http://schemas.microsoft.com/office/drawing/2014/main" id="{3394573E-22E6-46B5-95CF-C556E5390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45720</xdr:colOff>
      <xdr:row>8</xdr:row>
      <xdr:rowOff>129540</xdr:rowOff>
    </xdr:from>
    <xdr:to>
      <xdr:col>23</xdr:col>
      <xdr:colOff>373380</xdr:colOff>
      <xdr:row>24</xdr:row>
      <xdr:rowOff>38100</xdr:rowOff>
    </xdr:to>
    <xdr:graphicFrame macro="">
      <xdr:nvGraphicFramePr>
        <xdr:cNvPr id="6" name="Γράφημα 5">
          <a:extLst>
            <a:ext uri="{FF2B5EF4-FFF2-40B4-BE49-F238E27FC236}">
              <a16:creationId xmlns:a16="http://schemas.microsoft.com/office/drawing/2014/main" id="{1DBD003E-2612-4541-97F5-D06D8199B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236220</xdr:colOff>
      <xdr:row>26</xdr:row>
      <xdr:rowOff>3810</xdr:rowOff>
    </xdr:from>
    <xdr:to>
      <xdr:col>25</xdr:col>
      <xdr:colOff>541020</xdr:colOff>
      <xdr:row>40</xdr:row>
      <xdr:rowOff>64770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3F9FB5C0-8C71-44CE-A922-8EB64F1EA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122</xdr:row>
      <xdr:rowOff>87630</xdr:rowOff>
    </xdr:from>
    <xdr:to>
      <xdr:col>2</xdr:col>
      <xdr:colOff>297180</xdr:colOff>
      <xdr:row>138</xdr:row>
      <xdr:rowOff>148590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898E2AB4-E250-4A80-B580-FFBE93F80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123</xdr:row>
      <xdr:rowOff>0</xdr:rowOff>
    </xdr:from>
    <xdr:to>
      <xdr:col>8</xdr:col>
      <xdr:colOff>434340</xdr:colOff>
      <xdr:row>139</xdr:row>
      <xdr:rowOff>60960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4F87271E-55FC-42FC-B9CC-DD9F60F8D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140</xdr:row>
      <xdr:rowOff>0</xdr:rowOff>
    </xdr:from>
    <xdr:to>
      <xdr:col>2</xdr:col>
      <xdr:colOff>236220</xdr:colOff>
      <xdr:row>156</xdr:row>
      <xdr:rowOff>60960</xdr:rowOff>
    </xdr:to>
    <xdr:graphicFrame macro="">
      <xdr:nvGraphicFramePr>
        <xdr:cNvPr id="4" name="Γράφημα 3">
          <a:extLst>
            <a:ext uri="{FF2B5EF4-FFF2-40B4-BE49-F238E27FC236}">
              <a16:creationId xmlns:a16="http://schemas.microsoft.com/office/drawing/2014/main" id="{4B598FAE-1C7D-46C0-A0BA-E797D9699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868680</xdr:colOff>
      <xdr:row>139</xdr:row>
      <xdr:rowOff>160020</xdr:rowOff>
    </xdr:from>
    <xdr:to>
      <xdr:col>8</xdr:col>
      <xdr:colOff>411480</xdr:colOff>
      <xdr:row>156</xdr:row>
      <xdr:rowOff>53340</xdr:rowOff>
    </xdr:to>
    <xdr:graphicFrame macro="">
      <xdr:nvGraphicFramePr>
        <xdr:cNvPr id="5" name="Γράφημα 4">
          <a:extLst>
            <a:ext uri="{FF2B5EF4-FFF2-40B4-BE49-F238E27FC236}">
              <a16:creationId xmlns:a16="http://schemas.microsoft.com/office/drawing/2014/main" id="{8285E744-5022-4377-91A0-1A87B23A9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157</xdr:row>
      <xdr:rowOff>0</xdr:rowOff>
    </xdr:from>
    <xdr:to>
      <xdr:col>2</xdr:col>
      <xdr:colOff>236220</xdr:colOff>
      <xdr:row>173</xdr:row>
      <xdr:rowOff>60960</xdr:rowOff>
    </xdr:to>
    <xdr:graphicFrame macro="">
      <xdr:nvGraphicFramePr>
        <xdr:cNvPr id="6" name="Γράφημα 5">
          <a:extLst>
            <a:ext uri="{FF2B5EF4-FFF2-40B4-BE49-F238E27FC236}">
              <a16:creationId xmlns:a16="http://schemas.microsoft.com/office/drawing/2014/main" id="{D60A45E2-4E38-4F90-882C-9F48D2171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845820</xdr:colOff>
      <xdr:row>157</xdr:row>
      <xdr:rowOff>106680</xdr:rowOff>
    </xdr:from>
    <xdr:to>
      <xdr:col>8</xdr:col>
      <xdr:colOff>388620</xdr:colOff>
      <xdr:row>174</xdr:row>
      <xdr:rowOff>0</xdr:rowOff>
    </xdr:to>
    <xdr:graphicFrame macro="">
      <xdr:nvGraphicFramePr>
        <xdr:cNvPr id="7" name="Γράφημα 6">
          <a:extLst>
            <a:ext uri="{FF2B5EF4-FFF2-40B4-BE49-F238E27FC236}">
              <a16:creationId xmlns:a16="http://schemas.microsoft.com/office/drawing/2014/main" id="{FB5978E8-8D73-4AC5-BB73-4B5BED9D9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335280</xdr:colOff>
      <xdr:row>174</xdr:row>
      <xdr:rowOff>83820</xdr:rowOff>
    </xdr:from>
    <xdr:to>
      <xdr:col>2</xdr:col>
      <xdr:colOff>571500</xdr:colOff>
      <xdr:row>190</xdr:row>
      <xdr:rowOff>144780</xdr:rowOff>
    </xdr:to>
    <xdr:graphicFrame macro="">
      <xdr:nvGraphicFramePr>
        <xdr:cNvPr id="8" name="Γράφημα 7">
          <a:extLst>
            <a:ext uri="{FF2B5EF4-FFF2-40B4-BE49-F238E27FC236}">
              <a16:creationId xmlns:a16="http://schemas.microsoft.com/office/drawing/2014/main" id="{08555339-1CC2-4F83-92D5-9B7E8E7CB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68580</xdr:colOff>
      <xdr:row>174</xdr:row>
      <xdr:rowOff>53340</xdr:rowOff>
    </xdr:from>
    <xdr:to>
      <xdr:col>8</xdr:col>
      <xdr:colOff>502920</xdr:colOff>
      <xdr:row>190</xdr:row>
      <xdr:rowOff>114300</xdr:rowOff>
    </xdr:to>
    <xdr:graphicFrame macro="">
      <xdr:nvGraphicFramePr>
        <xdr:cNvPr id="9" name="Γράφημα 8">
          <a:extLst>
            <a:ext uri="{FF2B5EF4-FFF2-40B4-BE49-F238E27FC236}">
              <a16:creationId xmlns:a16="http://schemas.microsoft.com/office/drawing/2014/main" id="{97367CC8-CEDF-4E77-B212-7AE5C62B9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320040</xdr:colOff>
      <xdr:row>190</xdr:row>
      <xdr:rowOff>144780</xdr:rowOff>
    </xdr:from>
    <xdr:to>
      <xdr:col>2</xdr:col>
      <xdr:colOff>556260</xdr:colOff>
      <xdr:row>207</xdr:row>
      <xdr:rowOff>38100</xdr:rowOff>
    </xdr:to>
    <xdr:graphicFrame macro="">
      <xdr:nvGraphicFramePr>
        <xdr:cNvPr id="10" name="Γράφημα 9">
          <a:extLst>
            <a:ext uri="{FF2B5EF4-FFF2-40B4-BE49-F238E27FC236}">
              <a16:creationId xmlns:a16="http://schemas.microsoft.com/office/drawing/2014/main" id="{76EA2975-6689-4AC0-9187-57C1D002F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0</xdr:colOff>
      <xdr:row>192</xdr:row>
      <xdr:rowOff>0</xdr:rowOff>
    </xdr:from>
    <xdr:to>
      <xdr:col>8</xdr:col>
      <xdr:colOff>434340</xdr:colOff>
      <xdr:row>208</xdr:row>
      <xdr:rowOff>60960</xdr:rowOff>
    </xdr:to>
    <xdr:graphicFrame macro="">
      <xdr:nvGraphicFramePr>
        <xdr:cNvPr id="11" name="Γράφημα 10">
          <a:extLst>
            <a:ext uri="{FF2B5EF4-FFF2-40B4-BE49-F238E27FC236}">
              <a16:creationId xmlns:a16="http://schemas.microsoft.com/office/drawing/2014/main" id="{594E0699-569B-409A-8793-5443F3A90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213360</xdr:colOff>
      <xdr:row>209</xdr:row>
      <xdr:rowOff>160020</xdr:rowOff>
    </xdr:from>
    <xdr:to>
      <xdr:col>2</xdr:col>
      <xdr:colOff>449580</xdr:colOff>
      <xdr:row>226</xdr:row>
      <xdr:rowOff>53340</xdr:rowOff>
    </xdr:to>
    <xdr:graphicFrame macro="">
      <xdr:nvGraphicFramePr>
        <xdr:cNvPr id="12" name="Γράφημα 11">
          <a:extLst>
            <a:ext uri="{FF2B5EF4-FFF2-40B4-BE49-F238E27FC236}">
              <a16:creationId xmlns:a16="http://schemas.microsoft.com/office/drawing/2014/main" id="{F1BA53BA-D786-46A4-855F-FB80723ED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0</xdr:colOff>
      <xdr:row>210</xdr:row>
      <xdr:rowOff>0</xdr:rowOff>
    </xdr:from>
    <xdr:to>
      <xdr:col>8</xdr:col>
      <xdr:colOff>434340</xdr:colOff>
      <xdr:row>226</xdr:row>
      <xdr:rowOff>60960</xdr:rowOff>
    </xdr:to>
    <xdr:graphicFrame macro="">
      <xdr:nvGraphicFramePr>
        <xdr:cNvPr id="14" name="Γράφημα 13">
          <a:extLst>
            <a:ext uri="{FF2B5EF4-FFF2-40B4-BE49-F238E27FC236}">
              <a16:creationId xmlns:a16="http://schemas.microsoft.com/office/drawing/2014/main" id="{8B0B7090-135E-4A2A-8DA0-627F7D8FB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BE3B6-FD18-4C6C-8E19-F744A306AA33}">
  <dimension ref="B2:AB153"/>
  <sheetViews>
    <sheetView workbookViewId="0">
      <selection sqref="A1:XFD1048576"/>
    </sheetView>
  </sheetViews>
  <sheetFormatPr defaultRowHeight="13.2" x14ac:dyDescent="0.3"/>
  <cols>
    <col min="1" max="2" width="8.88671875" style="2"/>
    <col min="3" max="3" width="46.33203125" style="2" customWidth="1"/>
    <col min="4" max="4" width="32" style="2" customWidth="1"/>
    <col min="5" max="5" width="34.109375" style="2" customWidth="1"/>
    <col min="6" max="6" width="39.44140625" style="2" customWidth="1"/>
    <col min="7" max="7" width="27" style="2" customWidth="1"/>
    <col min="8" max="8" width="17.109375" style="2" customWidth="1"/>
    <col min="9" max="9" width="15.5546875" style="2" customWidth="1"/>
    <col min="10" max="10" width="13.77734375" style="2" bestFit="1" customWidth="1"/>
    <col min="11" max="11" width="12" style="2" bestFit="1" customWidth="1"/>
    <col min="12" max="12" width="9" style="2" bestFit="1" customWidth="1"/>
    <col min="13" max="13" width="8.88671875" style="2"/>
    <col min="14" max="15" width="11.109375" style="2" customWidth="1"/>
    <col min="16" max="25" width="8.88671875" style="2"/>
    <col min="26" max="27" width="10.109375" style="2" bestFit="1" customWidth="1"/>
    <col min="28" max="16384" width="8.88671875" style="2"/>
  </cols>
  <sheetData>
    <row r="2" spans="3:28" x14ac:dyDescent="0.3">
      <c r="C2" s="25"/>
      <c r="D2" s="25" t="s">
        <v>2</v>
      </c>
      <c r="E2" s="25"/>
    </row>
    <row r="3" spans="3:28" x14ac:dyDescent="0.3">
      <c r="C3" s="25"/>
      <c r="D3" s="25"/>
      <c r="E3" s="25"/>
      <c r="H3" s="4"/>
      <c r="I3" s="4"/>
      <c r="J3" s="4"/>
    </row>
    <row r="4" spans="3:28" x14ac:dyDescent="0.3">
      <c r="C4" s="4" t="s">
        <v>3</v>
      </c>
      <c r="D4" s="4" t="s">
        <v>0</v>
      </c>
      <c r="E4" s="4" t="s">
        <v>1</v>
      </c>
      <c r="H4" s="3"/>
      <c r="J4" s="3"/>
    </row>
    <row r="5" spans="3:28" x14ac:dyDescent="0.3">
      <c r="C5" s="2">
        <v>2018</v>
      </c>
      <c r="D5" s="3">
        <v>28731</v>
      </c>
      <c r="E5" s="3">
        <v>6762294</v>
      </c>
      <c r="H5" s="3"/>
      <c r="J5" s="3"/>
    </row>
    <row r="6" spans="3:28" x14ac:dyDescent="0.3">
      <c r="C6" s="2">
        <v>2019</v>
      </c>
      <c r="D6" s="3">
        <v>29600</v>
      </c>
      <c r="E6" s="3">
        <v>7229982</v>
      </c>
      <c r="H6" s="3"/>
      <c r="J6" s="3"/>
    </row>
    <row r="7" spans="3:28" x14ac:dyDescent="0.3">
      <c r="C7" s="2">
        <v>2020</v>
      </c>
      <c r="D7" s="3">
        <v>28043</v>
      </c>
      <c r="E7" s="3">
        <v>2338736</v>
      </c>
      <c r="H7" s="3"/>
      <c r="J7" s="3"/>
    </row>
    <row r="8" spans="3:28" x14ac:dyDescent="0.3">
      <c r="C8" s="2">
        <v>2021</v>
      </c>
      <c r="D8" s="3"/>
      <c r="E8" s="3"/>
      <c r="H8" s="3"/>
      <c r="J8" s="3"/>
    </row>
    <row r="9" spans="3:28" x14ac:dyDescent="0.3">
      <c r="C9" s="2">
        <v>2022</v>
      </c>
      <c r="D9" s="3">
        <v>31088</v>
      </c>
      <c r="E9" s="3">
        <v>9096779</v>
      </c>
    </row>
    <row r="10" spans="3:28" x14ac:dyDescent="0.3">
      <c r="C10" s="2">
        <v>2023</v>
      </c>
      <c r="D10" s="3">
        <v>31499</v>
      </c>
      <c r="E10" s="3">
        <v>10598503</v>
      </c>
      <c r="F10" s="7">
        <f>D10/D9-1</f>
        <v>1.3220535254760746E-2</v>
      </c>
    </row>
    <row r="11" spans="3:28" x14ac:dyDescent="0.3">
      <c r="D11" s="3"/>
      <c r="E11" s="3"/>
      <c r="J11" s="2" t="s">
        <v>4</v>
      </c>
      <c r="K11" s="2" t="s">
        <v>4</v>
      </c>
    </row>
    <row r="12" spans="3:28" x14ac:dyDescent="0.3">
      <c r="D12" s="3"/>
      <c r="E12" s="3"/>
      <c r="L12" s="2" t="s">
        <v>4</v>
      </c>
    </row>
    <row r="13" spans="3:28" x14ac:dyDescent="0.3">
      <c r="C13" s="27"/>
      <c r="D13" s="26" t="s">
        <v>5</v>
      </c>
      <c r="E13" s="26"/>
      <c r="F13" s="26"/>
      <c r="G13" s="26"/>
      <c r="J13" s="2" t="s">
        <v>4</v>
      </c>
      <c r="K13" s="2" t="s">
        <v>4</v>
      </c>
    </row>
    <row r="14" spans="3:28" x14ac:dyDescent="0.3">
      <c r="C14" s="27"/>
      <c r="D14" s="26"/>
      <c r="E14" s="26"/>
      <c r="F14" s="26"/>
      <c r="G14" s="26"/>
      <c r="L14" s="2" t="s">
        <v>4</v>
      </c>
    </row>
    <row r="15" spans="3:28" ht="39.6" x14ac:dyDescent="0.3">
      <c r="C15" s="4" t="s">
        <v>3</v>
      </c>
      <c r="D15" s="5" t="s">
        <v>6</v>
      </c>
      <c r="E15" s="5" t="s">
        <v>7</v>
      </c>
      <c r="F15" s="5" t="s">
        <v>8</v>
      </c>
      <c r="G15" s="5" t="s">
        <v>9</v>
      </c>
      <c r="H15" s="4" t="s">
        <v>19</v>
      </c>
      <c r="I15" s="4" t="s">
        <v>18</v>
      </c>
      <c r="J15" s="4" t="s">
        <v>48</v>
      </c>
      <c r="K15" s="4" t="s">
        <v>18</v>
      </c>
      <c r="L15" s="4" t="s">
        <v>50</v>
      </c>
      <c r="N15" s="4" t="s">
        <v>56</v>
      </c>
      <c r="O15" s="4"/>
      <c r="P15" s="4" t="s">
        <v>57</v>
      </c>
      <c r="Y15" s="2" t="s">
        <v>18</v>
      </c>
      <c r="Z15" s="2" t="s">
        <v>54</v>
      </c>
      <c r="AA15" s="2" t="s">
        <v>55</v>
      </c>
      <c r="AB15" s="2" t="s">
        <v>18</v>
      </c>
    </row>
    <row r="16" spans="3:28" x14ac:dyDescent="0.3">
      <c r="C16" s="2">
        <v>2018</v>
      </c>
      <c r="D16" s="3">
        <v>1746457</v>
      </c>
      <c r="E16" s="3">
        <v>3001997</v>
      </c>
      <c r="F16" s="3">
        <v>8995926</v>
      </c>
      <c r="G16" s="3">
        <v>3100748</v>
      </c>
      <c r="H16" s="3">
        <f>SUM(D16:G16)</f>
        <v>16845128</v>
      </c>
      <c r="I16" s="2">
        <v>112.71</v>
      </c>
      <c r="J16" s="3">
        <v>752.83333333333337</v>
      </c>
      <c r="K16" s="2">
        <v>76.56</v>
      </c>
      <c r="L16" s="3">
        <v>9264746</v>
      </c>
      <c r="M16" s="3">
        <v>-74466.744049075438</v>
      </c>
      <c r="N16" s="6">
        <f>M16*K16/H16</f>
        <v>-0.33844645908284077</v>
      </c>
      <c r="O16" s="3">
        <v>5944.1211724871455</v>
      </c>
      <c r="P16" s="6">
        <f>O16*J16/H16</f>
        <v>0.26565144272104907</v>
      </c>
      <c r="Y16" s="2">
        <v>0</v>
      </c>
      <c r="Z16" s="3">
        <f>D148+D149*Y16</f>
        <v>18741700.844608404</v>
      </c>
      <c r="AA16" s="3">
        <f>D152+D153*Y16</f>
        <v>23670770.768783242</v>
      </c>
      <c r="AB16" s="2">
        <v>0</v>
      </c>
    </row>
    <row r="17" spans="3:28" x14ac:dyDescent="0.3">
      <c r="C17" s="2">
        <v>2019</v>
      </c>
      <c r="D17" s="3">
        <v>1663987</v>
      </c>
      <c r="E17" s="3">
        <v>3038419</v>
      </c>
      <c r="F17" s="3">
        <v>9079830</v>
      </c>
      <c r="G17" s="3">
        <v>3019424</v>
      </c>
      <c r="H17" s="3">
        <f t="shared" ref="H17:H22" si="0">SUM(D17:G17)</f>
        <v>16801660</v>
      </c>
      <c r="I17" s="2">
        <v>116.52</v>
      </c>
      <c r="J17" s="3">
        <v>781.83333333333337</v>
      </c>
      <c r="K17" s="2">
        <v>78.819999999999993</v>
      </c>
      <c r="L17" s="3">
        <v>9163555</v>
      </c>
      <c r="M17" s="3">
        <v>-74466.744049075438</v>
      </c>
      <c r="N17" s="6">
        <f t="shared" ref="N17:N22" si="1">M17*K17/H17</f>
        <v>-0.34933862284727374</v>
      </c>
      <c r="O17" s="3">
        <v>5944.1211724871455</v>
      </c>
      <c r="P17" s="6">
        <f t="shared" ref="P17:P22" si="2">O17*J17/H17</f>
        <v>0.27659838789874736</v>
      </c>
      <c r="Y17" s="6">
        <f>-D148/D149</f>
        <v>251.67880083836022</v>
      </c>
      <c r="Z17" s="3">
        <f>D148+D149*Y17</f>
        <v>0</v>
      </c>
      <c r="AA17" s="3">
        <f ca="1">D152+D153*AA17</f>
        <v>0</v>
      </c>
      <c r="AB17" s="2">
        <f>-D152/D153</f>
        <v>317.87036040119619</v>
      </c>
    </row>
    <row r="18" spans="3:28" x14ac:dyDescent="0.3">
      <c r="C18" s="2">
        <v>2020</v>
      </c>
      <c r="D18" s="3">
        <v>557209</v>
      </c>
      <c r="E18" s="3">
        <v>1282589</v>
      </c>
      <c r="F18" s="3">
        <v>4852610</v>
      </c>
      <c r="G18" s="3">
        <v>1863185</v>
      </c>
      <c r="H18" s="3">
        <f t="shared" si="0"/>
        <v>8555593</v>
      </c>
      <c r="I18" s="2">
        <v>97.22</v>
      </c>
      <c r="J18" s="3">
        <v>836.75</v>
      </c>
      <c r="K18" s="2">
        <v>72.59</v>
      </c>
      <c r="L18" s="3">
        <v>4617211</v>
      </c>
      <c r="M18" s="3">
        <v>-74466.744049075438</v>
      </c>
      <c r="N18" s="6">
        <f t="shared" si="1"/>
        <v>-0.63181370952573201</v>
      </c>
      <c r="O18" s="3">
        <v>5944.1211724871455</v>
      </c>
      <c r="P18" s="6">
        <f t="shared" si="2"/>
        <v>0.58134408580195662</v>
      </c>
    </row>
    <row r="19" spans="3:28" x14ac:dyDescent="0.3">
      <c r="C19" s="2">
        <v>2021</v>
      </c>
      <c r="D19" s="3">
        <v>943244</v>
      </c>
      <c r="E19" s="3">
        <v>1995112</v>
      </c>
      <c r="F19" s="3">
        <v>5835545</v>
      </c>
      <c r="G19" s="3">
        <v>2000174</v>
      </c>
      <c r="H19" s="3">
        <f t="shared" si="0"/>
        <v>10774075</v>
      </c>
      <c r="I19" s="2">
        <v>96.14</v>
      </c>
      <c r="J19" s="3">
        <v>829.33333333333337</v>
      </c>
      <c r="K19" s="2">
        <v>71.33</v>
      </c>
      <c r="L19" s="3">
        <v>5652556</v>
      </c>
      <c r="M19" s="3">
        <v>-74466.744049075438</v>
      </c>
      <c r="N19" s="6">
        <f t="shared" si="1"/>
        <v>-0.49300871332532498</v>
      </c>
      <c r="O19" s="3">
        <v>5944.1211724871455</v>
      </c>
      <c r="P19" s="6">
        <f t="shared" si="2"/>
        <v>0.45754812600766254</v>
      </c>
    </row>
    <row r="20" spans="3:28" x14ac:dyDescent="0.3">
      <c r="C20" s="2">
        <v>2022</v>
      </c>
      <c r="D20" s="3">
        <v>1394911</v>
      </c>
      <c r="E20" s="3">
        <v>2667689</v>
      </c>
      <c r="F20" s="3">
        <v>8427149</v>
      </c>
      <c r="G20" s="3">
        <v>2763763</v>
      </c>
      <c r="H20" s="3">
        <f t="shared" si="0"/>
        <v>15253512</v>
      </c>
      <c r="I20" s="2">
        <v>124.37</v>
      </c>
      <c r="J20" s="3">
        <v>902.66666666666663</v>
      </c>
      <c r="K20" s="2">
        <v>84.48</v>
      </c>
      <c r="L20" s="3">
        <v>8311888</v>
      </c>
      <c r="M20" s="3">
        <v>-74466.744049075438</v>
      </c>
      <c r="N20" s="6">
        <f t="shared" si="1"/>
        <v>-0.41242636694197987</v>
      </c>
      <c r="O20" s="3">
        <v>5944.1211724871455</v>
      </c>
      <c r="P20" s="6">
        <f t="shared" si="2"/>
        <v>0.35175899458640936</v>
      </c>
    </row>
    <row r="21" spans="3:28" x14ac:dyDescent="0.3">
      <c r="C21" s="2">
        <v>2023</v>
      </c>
      <c r="D21" s="3">
        <v>1653523</v>
      </c>
      <c r="E21" s="3">
        <v>3102674</v>
      </c>
      <c r="F21" s="3">
        <v>9441928</v>
      </c>
      <c r="G21" s="3">
        <v>3153308</v>
      </c>
      <c r="H21" s="3">
        <f t="shared" si="0"/>
        <v>17351433</v>
      </c>
      <c r="I21" s="2">
        <v>142.96</v>
      </c>
      <c r="J21" s="3">
        <v>962.16666666666663</v>
      </c>
      <c r="K21" s="2">
        <v>90.78</v>
      </c>
      <c r="L21" s="3">
        <v>9505853</v>
      </c>
      <c r="M21" s="3">
        <v>-74466.744049075438</v>
      </c>
      <c r="N21" s="6">
        <f t="shared" si="1"/>
        <v>-0.38959842825518032</v>
      </c>
      <c r="O21" s="3">
        <v>5944.1211724871455</v>
      </c>
      <c r="P21" s="6">
        <f t="shared" si="2"/>
        <v>0.3296116957483981</v>
      </c>
    </row>
    <row r="22" spans="3:28" x14ac:dyDescent="0.3">
      <c r="C22" s="2">
        <v>2024</v>
      </c>
      <c r="D22" s="3">
        <v>1554932</v>
      </c>
      <c r="E22" s="3">
        <v>3151415</v>
      </c>
      <c r="F22" s="3">
        <v>9751596</v>
      </c>
      <c r="G22" s="3">
        <v>3377067</v>
      </c>
      <c r="H22" s="3">
        <f t="shared" si="0"/>
        <v>17835010</v>
      </c>
      <c r="I22" s="2">
        <v>138.01</v>
      </c>
      <c r="J22" s="3">
        <v>1032.5833333333333</v>
      </c>
      <c r="K22" s="2">
        <v>97.74</v>
      </c>
      <c r="L22" s="3">
        <v>9776628</v>
      </c>
      <c r="M22" s="3">
        <v>-74466.744049075438</v>
      </c>
      <c r="N22" s="6">
        <f t="shared" si="1"/>
        <v>-0.4080950648952052</v>
      </c>
      <c r="O22" s="3">
        <v>5944.1211724871455</v>
      </c>
      <c r="P22" s="6">
        <f t="shared" si="2"/>
        <v>0.34414337048445826</v>
      </c>
    </row>
    <row r="23" spans="3:28" x14ac:dyDescent="0.3">
      <c r="D23" s="2" t="s">
        <v>4</v>
      </c>
      <c r="I23" s="2" t="s">
        <v>4</v>
      </c>
    </row>
    <row r="24" spans="3:28" x14ac:dyDescent="0.3">
      <c r="F24" s="2" t="s">
        <v>4</v>
      </c>
      <c r="J24" s="2" t="s">
        <v>4</v>
      </c>
    </row>
    <row r="25" spans="3:28" x14ac:dyDescent="0.3">
      <c r="C25" s="27"/>
      <c r="D25" s="26" t="s">
        <v>10</v>
      </c>
      <c r="E25" s="26"/>
      <c r="F25" s="26"/>
      <c r="G25" s="26"/>
      <c r="I25" s="2" t="s">
        <v>4</v>
      </c>
    </row>
    <row r="26" spans="3:28" x14ac:dyDescent="0.3">
      <c r="C26" s="27"/>
      <c r="D26" s="26"/>
      <c r="E26" s="26"/>
      <c r="F26" s="26"/>
      <c r="G26" s="26"/>
      <c r="J26" s="2" t="s">
        <v>4</v>
      </c>
    </row>
    <row r="27" spans="3:28" ht="39.6" x14ac:dyDescent="0.3">
      <c r="C27" s="4" t="s">
        <v>3</v>
      </c>
      <c r="D27" s="5" t="s">
        <v>6</v>
      </c>
      <c r="E27" s="5" t="s">
        <v>7</v>
      </c>
      <c r="F27" s="5" t="s">
        <v>8</v>
      </c>
      <c r="G27" s="5" t="s">
        <v>9</v>
      </c>
      <c r="H27" s="4" t="s">
        <v>45</v>
      </c>
      <c r="I27" s="4" t="s">
        <v>18</v>
      </c>
      <c r="K27" s="4" t="s">
        <v>45</v>
      </c>
      <c r="L27" s="4" t="s">
        <v>45</v>
      </c>
      <c r="N27" s="4" t="s">
        <v>46</v>
      </c>
      <c r="O27" s="4"/>
      <c r="P27" s="4"/>
    </row>
    <row r="28" spans="3:28" x14ac:dyDescent="0.3">
      <c r="C28" s="2">
        <v>2018</v>
      </c>
      <c r="D28" s="3">
        <v>207</v>
      </c>
      <c r="E28" s="3">
        <v>607</v>
      </c>
      <c r="F28" s="3">
        <v>3951</v>
      </c>
      <c r="G28" s="3">
        <v>4911</v>
      </c>
      <c r="H28" s="3">
        <f>SUM(D28:G28)</f>
        <v>9676</v>
      </c>
      <c r="I28" s="2">
        <v>112.71</v>
      </c>
      <c r="K28" s="3">
        <v>809555</v>
      </c>
      <c r="L28" s="3">
        <v>414587</v>
      </c>
      <c r="M28" s="6">
        <f>D99*I28/K28</f>
        <v>1.3388980653364164</v>
      </c>
      <c r="N28" s="2">
        <v>2018</v>
      </c>
    </row>
    <row r="29" spans="3:28" x14ac:dyDescent="0.3">
      <c r="C29" s="2">
        <v>2019</v>
      </c>
      <c r="D29" s="3">
        <v>217</v>
      </c>
      <c r="E29" s="3">
        <v>628</v>
      </c>
      <c r="F29" s="3">
        <v>4042</v>
      </c>
      <c r="G29" s="3">
        <v>5005</v>
      </c>
      <c r="H29" s="3">
        <f t="shared" ref="H29:H34" si="3">SUM(D29:G29)</f>
        <v>9892</v>
      </c>
      <c r="I29" s="2">
        <v>116.52</v>
      </c>
      <c r="J29" s="6">
        <f t="shared" ref="J29:J34" si="4">(I28/K28)*(K29-K28)/(I29-I28)</f>
        <v>1.1532257952349336</v>
      </c>
      <c r="K29" s="3">
        <v>841114</v>
      </c>
      <c r="L29" s="3">
        <v>428189</v>
      </c>
      <c r="M29" s="6">
        <f>D99*I29/K29</f>
        <v>1.3322233396560696</v>
      </c>
      <c r="N29" s="2">
        <v>2019</v>
      </c>
      <c r="P29" s="6"/>
    </row>
    <row r="30" spans="3:28" x14ac:dyDescent="0.3">
      <c r="C30" s="2">
        <v>2020</v>
      </c>
      <c r="D30" s="3">
        <v>176</v>
      </c>
      <c r="E30" s="3">
        <v>428</v>
      </c>
      <c r="F30" s="3">
        <v>2983</v>
      </c>
      <c r="G30" s="3">
        <v>3879</v>
      </c>
      <c r="H30" s="3">
        <f t="shared" si="3"/>
        <v>7466</v>
      </c>
      <c r="I30" s="2">
        <v>97.22</v>
      </c>
      <c r="J30" s="6">
        <f t="shared" si="4"/>
        <v>1.5438406339502806</v>
      </c>
      <c r="K30" s="3">
        <v>626027</v>
      </c>
      <c r="L30" s="3">
        <v>317141</v>
      </c>
      <c r="M30" s="6">
        <f>D99*I30/K30</f>
        <v>1.4934613096938327</v>
      </c>
      <c r="N30" s="2">
        <v>2020</v>
      </c>
    </row>
    <row r="31" spans="3:28" x14ac:dyDescent="0.3">
      <c r="C31" s="2">
        <v>2021</v>
      </c>
      <c r="D31" s="3">
        <v>213</v>
      </c>
      <c r="E31" s="3">
        <v>555</v>
      </c>
      <c r="F31" s="3">
        <v>2894</v>
      </c>
      <c r="G31" s="3">
        <v>2854</v>
      </c>
      <c r="H31" s="3">
        <f t="shared" si="3"/>
        <v>6516</v>
      </c>
      <c r="I31" s="2">
        <v>96.14</v>
      </c>
      <c r="J31" s="6">
        <f t="shared" si="4"/>
        <v>-7.0464492449710452</v>
      </c>
      <c r="K31" s="3">
        <v>675031</v>
      </c>
      <c r="L31" s="3">
        <v>339279</v>
      </c>
      <c r="M31" s="6">
        <f>D99*I31/K31</f>
        <v>1.3696570072284941</v>
      </c>
      <c r="N31" s="2">
        <v>2021</v>
      </c>
    </row>
    <row r="32" spans="3:28" x14ac:dyDescent="0.3">
      <c r="C32" s="2">
        <v>2022</v>
      </c>
      <c r="D32" s="2">
        <v>238</v>
      </c>
      <c r="E32" s="2">
        <v>669</v>
      </c>
      <c r="F32" s="3">
        <v>4273</v>
      </c>
      <c r="G32" s="3">
        <v>5264</v>
      </c>
      <c r="H32" s="3">
        <f t="shared" si="3"/>
        <v>10444</v>
      </c>
      <c r="I32" s="2">
        <v>124.37</v>
      </c>
      <c r="J32" s="6">
        <f t="shared" si="4"/>
        <v>1.1616335875729</v>
      </c>
      <c r="K32" s="3">
        <v>905281</v>
      </c>
      <c r="L32" s="3">
        <v>454742</v>
      </c>
      <c r="M32" s="6">
        <f>D99*AVERAGE(I28:I31)/AVERAGE(K28:K31)</f>
        <v>1.3768113948088887</v>
      </c>
      <c r="N32" s="2" t="s">
        <v>47</v>
      </c>
    </row>
    <row r="33" spans="3:12" x14ac:dyDescent="0.3">
      <c r="C33" s="2">
        <v>2023</v>
      </c>
      <c r="D33" s="2">
        <v>243</v>
      </c>
      <c r="E33" s="2">
        <v>667</v>
      </c>
      <c r="F33" s="3">
        <v>4187</v>
      </c>
      <c r="G33" s="3">
        <v>5118</v>
      </c>
      <c r="H33" s="3">
        <f t="shared" si="3"/>
        <v>10215</v>
      </c>
      <c r="I33" s="2">
        <v>142.96</v>
      </c>
      <c r="J33" s="6">
        <f t="shared" si="4"/>
        <v>-2.8296857346791948E-2</v>
      </c>
      <c r="K33" s="3">
        <v>901452</v>
      </c>
      <c r="L33" s="3">
        <v>452044</v>
      </c>
    </row>
    <row r="34" spans="3:12" x14ac:dyDescent="0.3">
      <c r="C34" s="2">
        <v>2024</v>
      </c>
      <c r="D34" s="2">
        <v>242</v>
      </c>
      <c r="E34" s="2">
        <v>667</v>
      </c>
      <c r="F34" s="3">
        <v>4240</v>
      </c>
      <c r="G34" s="3">
        <v>5154</v>
      </c>
      <c r="H34" s="3">
        <f t="shared" si="3"/>
        <v>10303</v>
      </c>
      <c r="I34" s="2">
        <v>138.01</v>
      </c>
      <c r="J34" s="6">
        <f t="shared" si="4"/>
        <v>-0.17345426595037164</v>
      </c>
      <c r="K34" s="3">
        <v>906866</v>
      </c>
      <c r="L34" s="3">
        <v>454435</v>
      </c>
    </row>
    <row r="35" spans="3:12" x14ac:dyDescent="0.3">
      <c r="D35" s="2" t="s">
        <v>4</v>
      </c>
      <c r="E35" s="2" t="s">
        <v>4</v>
      </c>
      <c r="F35" s="2" t="s">
        <v>4</v>
      </c>
      <c r="G35" s="2" t="s">
        <v>4</v>
      </c>
      <c r="K35" s="2" t="s">
        <v>4</v>
      </c>
      <c r="L35" s="2" t="s">
        <v>4</v>
      </c>
    </row>
    <row r="37" spans="3:12" x14ac:dyDescent="0.3">
      <c r="C37" s="2">
        <v>2018</v>
      </c>
      <c r="D37" s="3">
        <f t="shared" ref="D37:G43" si="5">D16/D28</f>
        <v>8436.9903381642507</v>
      </c>
      <c r="E37" s="3">
        <f t="shared" si="5"/>
        <v>4945.6293245469524</v>
      </c>
      <c r="F37" s="3">
        <f t="shared" si="5"/>
        <v>2276.8731966590735</v>
      </c>
      <c r="G37" s="3">
        <f t="shared" si="5"/>
        <v>631.38831195275907</v>
      </c>
      <c r="H37" s="3">
        <f>SUM(D37:G37)</f>
        <v>16290.881171323035</v>
      </c>
      <c r="K37" s="2" t="s">
        <v>4</v>
      </c>
      <c r="L37" s="2" t="s">
        <v>4</v>
      </c>
    </row>
    <row r="38" spans="3:12" x14ac:dyDescent="0.3">
      <c r="C38" s="2">
        <v>2019</v>
      </c>
      <c r="D38" s="3">
        <f t="shared" si="5"/>
        <v>7668.1428571428569</v>
      </c>
      <c r="E38" s="3">
        <f t="shared" si="5"/>
        <v>4838.246815286624</v>
      </c>
      <c r="F38" s="3">
        <f t="shared" si="5"/>
        <v>2246.370608609599</v>
      </c>
      <c r="G38" s="3">
        <f t="shared" si="5"/>
        <v>603.28151848151845</v>
      </c>
      <c r="H38" s="3">
        <f t="shared" ref="H38:H52" si="6">SUM(D38:G38)</f>
        <v>15356.041799520599</v>
      </c>
    </row>
    <row r="39" spans="3:12" x14ac:dyDescent="0.3">
      <c r="C39" s="2">
        <v>2020</v>
      </c>
      <c r="D39" s="3">
        <f t="shared" si="5"/>
        <v>3165.9602272727275</v>
      </c>
      <c r="E39" s="3">
        <f t="shared" si="5"/>
        <v>2996.7032710280373</v>
      </c>
      <c r="F39" s="3">
        <f t="shared" si="5"/>
        <v>1626.7549446865571</v>
      </c>
      <c r="G39" s="3">
        <f t="shared" si="5"/>
        <v>480.32611497808716</v>
      </c>
      <c r="H39" s="3">
        <f t="shared" si="6"/>
        <v>8269.7445579654086</v>
      </c>
      <c r="K39" s="2" t="s">
        <v>4</v>
      </c>
      <c r="L39" s="2" t="s">
        <v>4</v>
      </c>
    </row>
    <row r="40" spans="3:12" x14ac:dyDescent="0.3">
      <c r="C40" s="2">
        <v>2021</v>
      </c>
      <c r="D40" s="3">
        <f t="shared" si="5"/>
        <v>4428.3755868544604</v>
      </c>
      <c r="E40" s="3">
        <f t="shared" si="5"/>
        <v>3594.7963963963962</v>
      </c>
      <c r="F40" s="3">
        <f t="shared" si="5"/>
        <v>2016.4288182446442</v>
      </c>
      <c r="G40" s="3">
        <f t="shared" si="5"/>
        <v>700.83181499649618</v>
      </c>
      <c r="H40" s="3">
        <f t="shared" si="6"/>
        <v>10740.432616491997</v>
      </c>
    </row>
    <row r="41" spans="3:12" x14ac:dyDescent="0.3">
      <c r="C41" s="2">
        <v>2022</v>
      </c>
      <c r="D41" s="3">
        <f t="shared" si="5"/>
        <v>5860.9705882352937</v>
      </c>
      <c r="E41" s="3">
        <f t="shared" si="5"/>
        <v>3987.576980568012</v>
      </c>
      <c r="F41" s="3">
        <f t="shared" si="5"/>
        <v>1972.1855838989002</v>
      </c>
      <c r="G41" s="3">
        <f t="shared" si="5"/>
        <v>525.03096504559267</v>
      </c>
      <c r="H41" s="3">
        <f t="shared" si="6"/>
        <v>12345.764117747798</v>
      </c>
    </row>
    <row r="42" spans="3:12" x14ac:dyDescent="0.3">
      <c r="C42" s="2">
        <v>2023</v>
      </c>
      <c r="D42" s="3">
        <f t="shared" si="5"/>
        <v>6804.6213991769546</v>
      </c>
      <c r="E42" s="3">
        <f t="shared" si="5"/>
        <v>4651.6851574212897</v>
      </c>
      <c r="F42" s="3">
        <f t="shared" si="5"/>
        <v>2255.058036780511</v>
      </c>
      <c r="G42" s="3">
        <f t="shared" si="5"/>
        <v>616.1211410707308</v>
      </c>
      <c r="H42" s="3">
        <f t="shared" si="6"/>
        <v>14327.485734449485</v>
      </c>
    </row>
    <row r="43" spans="3:12" x14ac:dyDescent="0.3">
      <c r="C43" s="2">
        <v>2024</v>
      </c>
      <c r="D43" s="3">
        <f t="shared" si="5"/>
        <v>6425.3388429752067</v>
      </c>
      <c r="E43" s="3">
        <f t="shared" si="5"/>
        <v>4724.7601199400297</v>
      </c>
      <c r="F43" s="3">
        <f t="shared" si="5"/>
        <v>2299.904716981132</v>
      </c>
      <c r="G43" s="3">
        <f t="shared" si="5"/>
        <v>655.232246798603</v>
      </c>
      <c r="H43" s="3">
        <f t="shared" si="6"/>
        <v>14105.23592669497</v>
      </c>
    </row>
    <row r="44" spans="3:12" x14ac:dyDescent="0.3">
      <c r="H44" s="3"/>
    </row>
    <row r="45" spans="3:12" x14ac:dyDescent="0.3">
      <c r="H45" s="3"/>
    </row>
    <row r="46" spans="3:12" x14ac:dyDescent="0.3">
      <c r="C46" s="2">
        <v>2018</v>
      </c>
      <c r="D46" s="6">
        <f>100*D37/H37</f>
        <v>51.789649985391527</v>
      </c>
      <c r="E46" s="6">
        <f>100*E37/H37</f>
        <v>30.358267748295788</v>
      </c>
      <c r="F46" s="6">
        <f>100*F37/H37</f>
        <v>13.976366119882275</v>
      </c>
      <c r="G46" s="6">
        <f>100*G37/H37</f>
        <v>3.8757161464304146</v>
      </c>
      <c r="H46" s="3">
        <f t="shared" si="6"/>
        <v>100</v>
      </c>
    </row>
    <row r="47" spans="3:12" x14ac:dyDescent="0.3">
      <c r="C47" s="2">
        <v>2019</v>
      </c>
      <c r="D47" s="6">
        <f t="shared" ref="D47:D52" si="7">100*D38/H38</f>
        <v>49.935673250005408</v>
      </c>
      <c r="E47" s="6">
        <f t="shared" ref="E47:E52" si="8">100*E38/H38</f>
        <v>31.507121942307226</v>
      </c>
      <c r="F47" s="6">
        <f t="shared" ref="F47:F52" si="9">100*F38/H38</f>
        <v>14.628578366332192</v>
      </c>
      <c r="G47" s="6">
        <f t="shared" ref="G47:G52" si="10">100*G38/H38</f>
        <v>3.9286264413551693</v>
      </c>
      <c r="H47" s="3">
        <f t="shared" si="6"/>
        <v>99.999999999999986</v>
      </c>
    </row>
    <row r="48" spans="3:12" x14ac:dyDescent="0.3">
      <c r="C48" s="2">
        <v>2020</v>
      </c>
      <c r="D48" s="6">
        <f t="shared" si="7"/>
        <v>38.283651992893518</v>
      </c>
      <c r="E48" s="6">
        <f t="shared" si="8"/>
        <v>36.236950851663444</v>
      </c>
      <c r="F48" s="6">
        <f t="shared" si="9"/>
        <v>19.671163157266673</v>
      </c>
      <c r="G48" s="6">
        <f t="shared" si="10"/>
        <v>5.8082339981763713</v>
      </c>
      <c r="H48" s="3">
        <f t="shared" si="6"/>
        <v>100.00000000000001</v>
      </c>
    </row>
    <row r="49" spans="2:8" x14ac:dyDescent="0.3">
      <c r="C49" s="2">
        <v>2021</v>
      </c>
      <c r="D49" s="6">
        <f t="shared" si="7"/>
        <v>41.230886547853423</v>
      </c>
      <c r="E49" s="6">
        <f t="shared" si="8"/>
        <v>33.469754196647216</v>
      </c>
      <c r="F49" s="6">
        <f t="shared" si="9"/>
        <v>18.77418620129329</v>
      </c>
      <c r="G49" s="6">
        <f t="shared" si="10"/>
        <v>6.5251730542060749</v>
      </c>
      <c r="H49" s="3">
        <f t="shared" si="6"/>
        <v>100.00000000000001</v>
      </c>
    </row>
    <row r="50" spans="2:8" x14ac:dyDescent="0.3">
      <c r="C50" s="2">
        <v>2022</v>
      </c>
      <c r="D50" s="6">
        <f t="shared" si="7"/>
        <v>47.473534504112116</v>
      </c>
      <c r="E50" s="6">
        <f t="shared" si="8"/>
        <v>32.299150887190727</v>
      </c>
      <c r="F50" s="6">
        <f t="shared" si="9"/>
        <v>15.974593108123308</v>
      </c>
      <c r="G50" s="6">
        <f t="shared" si="10"/>
        <v>4.2527215005738546</v>
      </c>
      <c r="H50" s="3">
        <f t="shared" si="6"/>
        <v>100.00000000000001</v>
      </c>
    </row>
    <row r="51" spans="2:8" x14ac:dyDescent="0.3">
      <c r="C51" s="2">
        <v>2023</v>
      </c>
      <c r="D51" s="6">
        <f t="shared" si="7"/>
        <v>47.493478795206165</v>
      </c>
      <c r="E51" s="6">
        <f t="shared" si="8"/>
        <v>32.466862948860751</v>
      </c>
      <c r="F51" s="6">
        <f t="shared" si="9"/>
        <v>15.739384275626072</v>
      </c>
      <c r="G51" s="6">
        <f t="shared" si="10"/>
        <v>4.3002739803070167</v>
      </c>
      <c r="H51" s="3">
        <f t="shared" si="6"/>
        <v>99.999999999999986</v>
      </c>
    </row>
    <row r="52" spans="2:8" x14ac:dyDescent="0.3">
      <c r="C52" s="2">
        <v>2024</v>
      </c>
      <c r="D52" s="6">
        <f t="shared" si="7"/>
        <v>45.552863322299224</v>
      </c>
      <c r="E52" s="6">
        <f t="shared" si="8"/>
        <v>33.496498353481272</v>
      </c>
      <c r="F52" s="6">
        <f t="shared" si="9"/>
        <v>16.305326113889596</v>
      </c>
      <c r="G52" s="6">
        <f t="shared" si="10"/>
        <v>4.6453122103299123</v>
      </c>
      <c r="H52" s="3">
        <f t="shared" si="6"/>
        <v>100</v>
      </c>
    </row>
    <row r="54" spans="2:8" x14ac:dyDescent="0.3">
      <c r="C54" s="4" t="s">
        <v>3</v>
      </c>
      <c r="D54" s="4" t="s">
        <v>11</v>
      </c>
      <c r="E54" s="4" t="s">
        <v>58</v>
      </c>
    </row>
    <row r="55" spans="2:8" x14ac:dyDescent="0.3">
      <c r="B55" s="6">
        <v>-0.33844645908284077</v>
      </c>
      <c r="C55" s="2">
        <v>2018</v>
      </c>
      <c r="D55" s="3">
        <f>D46^2+E46^2+F46^2+G46^2</f>
        <v>3814.1522518512752</v>
      </c>
      <c r="E55" s="6">
        <f>-B55*D55/10000</f>
        <v>0.12908863240419075</v>
      </c>
    </row>
    <row r="56" spans="2:8" x14ac:dyDescent="0.3">
      <c r="B56" s="6">
        <v>-0.34933862284727374</v>
      </c>
      <c r="C56" s="2">
        <v>2019</v>
      </c>
      <c r="D56" s="3">
        <f t="shared" ref="D56:D61" si="11">D47^2+E47^2+F47^2+G47^2</f>
        <v>3715.6996067543605</v>
      </c>
      <c r="E56" s="6">
        <f t="shared" ref="E56:E61" si="12">-B56*D56/10000</f>
        <v>0.12980373835377249</v>
      </c>
    </row>
    <row r="57" spans="2:8" x14ac:dyDescent="0.3">
      <c r="B57" s="6">
        <v>-0.63181370952573201</v>
      </c>
      <c r="C57" s="2">
        <v>2020</v>
      </c>
      <c r="D57" s="3">
        <f t="shared" si="11"/>
        <v>3199.4448590762295</v>
      </c>
      <c r="E57" s="6">
        <f t="shared" si="12"/>
        <v>0.20214531248359854</v>
      </c>
    </row>
    <row r="58" spans="2:8" x14ac:dyDescent="0.3">
      <c r="B58" s="6">
        <v>-0.49300871332532498</v>
      </c>
      <c r="C58" s="2">
        <v>2021</v>
      </c>
      <c r="D58" s="3">
        <f t="shared" si="11"/>
        <v>3215.2584024141129</v>
      </c>
      <c r="E58" s="6">
        <f t="shared" si="12"/>
        <v>0.15851504079826217</v>
      </c>
    </row>
    <row r="59" spans="2:8" x14ac:dyDescent="0.3">
      <c r="B59" s="6">
        <v>-0.41242636694197987</v>
      </c>
      <c r="C59" s="2">
        <v>2022</v>
      </c>
      <c r="D59" s="3">
        <f t="shared" si="11"/>
        <v>3570.2448914781812</v>
      </c>
      <c r="E59" s="6">
        <f t="shared" si="12"/>
        <v>0.14724631296855095</v>
      </c>
    </row>
    <row r="60" spans="2:8" x14ac:dyDescent="0.3">
      <c r="B60" s="6">
        <v>-0.38959842825518032</v>
      </c>
      <c r="C60" s="2">
        <v>2023</v>
      </c>
      <c r="D60" s="3">
        <f t="shared" si="11"/>
        <v>3575.948291492336</v>
      </c>
      <c r="E60" s="6">
        <f t="shared" si="12"/>
        <v>0.13931838338872116</v>
      </c>
    </row>
    <row r="61" spans="2:8" x14ac:dyDescent="0.3">
      <c r="B61" s="6">
        <v>-0.4080950648952052</v>
      </c>
      <c r="C61" s="2">
        <v>2024</v>
      </c>
      <c r="D61" s="3">
        <f t="shared" si="11"/>
        <v>3484.5213440165776</v>
      </c>
      <c r="E61" s="6">
        <f t="shared" si="12"/>
        <v>0.14220159640151728</v>
      </c>
    </row>
    <row r="65" spans="3:12" x14ac:dyDescent="0.3">
      <c r="D65" s="3"/>
      <c r="E65" s="3"/>
      <c r="F65" s="6"/>
    </row>
    <row r="66" spans="3:12" x14ac:dyDescent="0.3">
      <c r="D66" s="3"/>
      <c r="E66" s="3"/>
      <c r="F66" s="6"/>
    </row>
    <row r="67" spans="3:12" x14ac:dyDescent="0.3">
      <c r="D67" s="3"/>
      <c r="E67" s="3"/>
      <c r="F67" s="6"/>
    </row>
    <row r="68" spans="3:12" x14ac:dyDescent="0.3">
      <c r="D68" s="3"/>
      <c r="E68" s="3"/>
      <c r="F68" s="6"/>
    </row>
    <row r="69" spans="3:12" x14ac:dyDescent="0.3">
      <c r="F69" s="6"/>
    </row>
    <row r="71" spans="3:12" x14ac:dyDescent="0.3">
      <c r="C71" s="4" t="s">
        <v>17</v>
      </c>
      <c r="D71" s="4" t="s">
        <v>16</v>
      </c>
      <c r="E71" s="4" t="s">
        <v>1</v>
      </c>
    </row>
    <row r="72" spans="3:12" x14ac:dyDescent="0.3">
      <c r="C72" s="2" t="s">
        <v>12</v>
      </c>
      <c r="D72" s="3">
        <v>27292</v>
      </c>
      <c r="E72" s="3">
        <f>1162.77*1000000</f>
        <v>1162770000</v>
      </c>
      <c r="F72" s="3"/>
      <c r="G72" s="6"/>
    </row>
    <row r="73" spans="3:12" x14ac:dyDescent="0.3">
      <c r="C73" s="2" t="s">
        <v>13</v>
      </c>
      <c r="D73" s="3">
        <f>691+1197</f>
        <v>1888</v>
      </c>
      <c r="E73" s="3">
        <f>(698.45+456.24)*1000000</f>
        <v>1154690000</v>
      </c>
      <c r="F73" s="3"/>
      <c r="G73" s="6"/>
    </row>
    <row r="74" spans="3:12" x14ac:dyDescent="0.3">
      <c r="C74" s="2" t="s">
        <v>14</v>
      </c>
      <c r="D74" s="3">
        <v>398</v>
      </c>
      <c r="E74" s="3">
        <f>1708.12*1000000</f>
        <v>1708120000</v>
      </c>
      <c r="F74" s="3"/>
      <c r="G74" s="6"/>
    </row>
    <row r="75" spans="3:12" x14ac:dyDescent="0.3">
      <c r="C75" s="2" t="s">
        <v>15</v>
      </c>
      <c r="D75" s="3">
        <v>46</v>
      </c>
      <c r="E75" s="3">
        <f>1264.72*1000000</f>
        <v>1264720000</v>
      </c>
      <c r="F75" s="3"/>
      <c r="G75" s="6"/>
    </row>
    <row r="76" spans="3:12" x14ac:dyDescent="0.3">
      <c r="D76" s="3"/>
      <c r="E76" s="3"/>
      <c r="F76" s="3"/>
      <c r="G76" s="6"/>
    </row>
    <row r="77" spans="3:12" x14ac:dyDescent="0.3">
      <c r="D77" s="3"/>
      <c r="E77" s="3"/>
    </row>
    <row r="78" spans="3:12" x14ac:dyDescent="0.3">
      <c r="D78" s="8"/>
      <c r="E78" s="8"/>
      <c r="F78" s="8"/>
      <c r="G78" s="8"/>
      <c r="H78" s="8"/>
      <c r="I78" s="8"/>
      <c r="J78" s="8"/>
      <c r="K78" s="8"/>
      <c r="L78" s="8"/>
    </row>
    <row r="79" spans="3:12" x14ac:dyDescent="0.3">
      <c r="D79" s="8"/>
      <c r="E79" s="8"/>
      <c r="F79" s="8"/>
      <c r="G79" s="8"/>
      <c r="H79" s="8"/>
      <c r="I79" s="8"/>
      <c r="J79" s="8"/>
      <c r="K79" s="8"/>
      <c r="L79" s="8"/>
    </row>
    <row r="82" spans="3:11" x14ac:dyDescent="0.3">
      <c r="C82" s="8" t="s">
        <v>20</v>
      </c>
      <c r="D82" s="8"/>
      <c r="E82" s="8"/>
      <c r="F82" s="8"/>
      <c r="G82" s="8"/>
      <c r="H82" s="8"/>
      <c r="I82" s="8"/>
      <c r="J82" s="8"/>
      <c r="K82" s="8"/>
    </row>
    <row r="83" spans="3:11" ht="13.8" thickBot="1" x14ac:dyDescent="0.35">
      <c r="C83" s="8"/>
      <c r="D83" s="8"/>
      <c r="E83" s="8"/>
      <c r="F83" s="8"/>
      <c r="G83" s="8"/>
      <c r="H83" s="8"/>
      <c r="I83" s="8"/>
      <c r="J83" s="8"/>
      <c r="K83" s="8"/>
    </row>
    <row r="84" spans="3:11" x14ac:dyDescent="0.3">
      <c r="C84" s="12" t="s">
        <v>21</v>
      </c>
      <c r="D84" s="12"/>
      <c r="E84" s="8"/>
      <c r="F84" s="8"/>
      <c r="G84" s="8"/>
      <c r="H84" s="8"/>
      <c r="I84" s="8"/>
      <c r="J84" s="8"/>
      <c r="K84" s="8"/>
    </row>
    <row r="85" spans="3:11" x14ac:dyDescent="0.3">
      <c r="C85" s="8" t="s">
        <v>22</v>
      </c>
      <c r="D85" s="8">
        <v>0.97198571462048766</v>
      </c>
      <c r="E85" s="8"/>
      <c r="F85" s="8"/>
      <c r="G85" s="8"/>
      <c r="H85" s="8"/>
      <c r="I85" s="8"/>
      <c r="J85" s="8"/>
      <c r="K85" s="8"/>
    </row>
    <row r="86" spans="3:11" x14ac:dyDescent="0.3">
      <c r="C86" s="8" t="s">
        <v>23</v>
      </c>
      <c r="D86" s="8">
        <v>0.9447562294263</v>
      </c>
      <c r="E86" s="8"/>
      <c r="F86" s="8"/>
      <c r="G86" s="8"/>
      <c r="H86" s="8"/>
      <c r="I86" s="8"/>
      <c r="J86" s="8"/>
      <c r="K86" s="8"/>
    </row>
    <row r="87" spans="3:11" x14ac:dyDescent="0.3">
      <c r="C87" s="8" t="s">
        <v>24</v>
      </c>
      <c r="D87" s="8">
        <v>0.91713434413944994</v>
      </c>
      <c r="E87" s="8"/>
      <c r="F87" s="8"/>
      <c r="G87" s="8"/>
      <c r="H87" s="8"/>
      <c r="I87" s="8"/>
      <c r="J87" s="8"/>
      <c r="K87" s="8"/>
    </row>
    <row r="88" spans="3:11" x14ac:dyDescent="0.3">
      <c r="C88" s="8" t="s">
        <v>25</v>
      </c>
      <c r="D88" s="8">
        <v>29848.981567160619</v>
      </c>
      <c r="E88" s="8"/>
      <c r="F88" s="8"/>
      <c r="G88" s="8"/>
      <c r="H88" s="8"/>
      <c r="I88" s="8"/>
      <c r="J88" s="8"/>
      <c r="K88" s="8"/>
    </row>
    <row r="89" spans="3:11" ht="13.8" thickBot="1" x14ac:dyDescent="0.35">
      <c r="C89" s="9" t="s">
        <v>26</v>
      </c>
      <c r="D89" s="9">
        <v>4</v>
      </c>
      <c r="E89" s="8"/>
      <c r="F89" s="8"/>
      <c r="G89" s="8"/>
      <c r="H89" s="8"/>
      <c r="I89" s="8"/>
      <c r="J89" s="8"/>
      <c r="K89" s="8"/>
    </row>
    <row r="90" spans="3:11" x14ac:dyDescent="0.3">
      <c r="C90" s="8"/>
      <c r="D90" s="8"/>
      <c r="E90" s="8"/>
      <c r="F90" s="8"/>
      <c r="G90" s="8"/>
      <c r="H90" s="8"/>
      <c r="I90" s="8"/>
      <c r="J90" s="8"/>
      <c r="K90" s="8"/>
    </row>
    <row r="91" spans="3:11" ht="13.8" thickBot="1" x14ac:dyDescent="0.35">
      <c r="C91" s="8" t="s">
        <v>27</v>
      </c>
      <c r="D91" s="8"/>
      <c r="E91" s="8"/>
      <c r="F91" s="8"/>
      <c r="G91" s="8"/>
      <c r="H91" s="8"/>
      <c r="I91" s="8"/>
      <c r="J91" s="8"/>
      <c r="K91" s="8"/>
    </row>
    <row r="92" spans="3:11" x14ac:dyDescent="0.3">
      <c r="C92" s="13"/>
      <c r="D92" s="13" t="s">
        <v>32</v>
      </c>
      <c r="E92" s="13" t="s">
        <v>33</v>
      </c>
      <c r="F92" s="13" t="s">
        <v>34</v>
      </c>
      <c r="G92" s="13" t="s">
        <v>35</v>
      </c>
      <c r="H92" s="13" t="s">
        <v>36</v>
      </c>
      <c r="I92" s="8"/>
      <c r="J92" s="8"/>
      <c r="K92" s="8"/>
    </row>
    <row r="93" spans="3:11" x14ac:dyDescent="0.3">
      <c r="C93" s="8" t="s">
        <v>28</v>
      </c>
      <c r="D93" s="8">
        <v>1</v>
      </c>
      <c r="E93" s="8">
        <v>30473720677.55661</v>
      </c>
      <c r="F93" s="8">
        <v>30473720677.55661</v>
      </c>
      <c r="G93" s="8">
        <v>34.203176923483653</v>
      </c>
      <c r="H93" s="8">
        <v>2.8014285379512366E-2</v>
      </c>
      <c r="I93" s="8"/>
      <c r="J93" s="8"/>
      <c r="K93" s="8"/>
    </row>
    <row r="94" spans="3:11" x14ac:dyDescent="0.3">
      <c r="C94" s="8" t="s">
        <v>29</v>
      </c>
      <c r="D94" s="8">
        <v>2</v>
      </c>
      <c r="E94" s="8">
        <v>1781923401.1933887</v>
      </c>
      <c r="F94" s="8">
        <v>890961700.59669435</v>
      </c>
      <c r="G94" s="8"/>
      <c r="H94" s="8"/>
      <c r="I94" s="8"/>
      <c r="J94" s="8"/>
      <c r="K94" s="8"/>
    </row>
    <row r="95" spans="3:11" ht="13.8" thickBot="1" x14ac:dyDescent="0.35">
      <c r="C95" s="9" t="s">
        <v>30</v>
      </c>
      <c r="D95" s="9">
        <v>3</v>
      </c>
      <c r="E95" s="9">
        <v>32255644078.75</v>
      </c>
      <c r="F95" s="9"/>
      <c r="G95" s="9"/>
      <c r="H95" s="9"/>
      <c r="I95" s="8"/>
      <c r="J95" s="8"/>
      <c r="K95" s="8"/>
    </row>
    <row r="96" spans="3:11" ht="13.8" thickBot="1" x14ac:dyDescent="0.35">
      <c r="C96" s="8"/>
      <c r="D96" s="8"/>
      <c r="E96" s="8"/>
      <c r="F96" s="8"/>
      <c r="G96" s="8"/>
      <c r="H96" s="8"/>
      <c r="I96" s="8"/>
      <c r="J96" s="8"/>
      <c r="K96" s="8"/>
    </row>
    <row r="97" spans="3:11" x14ac:dyDescent="0.3">
      <c r="C97" s="13"/>
      <c r="D97" s="13" t="s">
        <v>37</v>
      </c>
      <c r="E97" s="13" t="s">
        <v>25</v>
      </c>
      <c r="F97" s="13" t="s">
        <v>38</v>
      </c>
      <c r="G97" s="13" t="s">
        <v>39</v>
      </c>
      <c r="H97" s="13" t="s">
        <v>40</v>
      </c>
      <c r="I97" s="13" t="s">
        <v>41</v>
      </c>
      <c r="J97" s="13" t="s">
        <v>42</v>
      </c>
      <c r="K97" s="13" t="s">
        <v>43</v>
      </c>
    </row>
    <row r="98" spans="3:11" x14ac:dyDescent="0.3">
      <c r="C98" s="8" t="s">
        <v>31</v>
      </c>
      <c r="D98" s="10">
        <v>-278061.09199126414</v>
      </c>
      <c r="E98" s="8">
        <v>174362.94228240679</v>
      </c>
      <c r="F98" s="8">
        <v>-1.5947258537361839</v>
      </c>
      <c r="G98" s="8">
        <v>0.2518176291859251</v>
      </c>
      <c r="H98" s="8">
        <v>-1028284.2815698099</v>
      </c>
      <c r="I98" s="8">
        <v>472162.09758728161</v>
      </c>
      <c r="J98" s="8">
        <v>-1028284.2815698099</v>
      </c>
      <c r="K98" s="8">
        <v>472162.09758728161</v>
      </c>
    </row>
    <row r="99" spans="3:11" ht="13.8" thickBot="1" x14ac:dyDescent="0.35">
      <c r="C99" s="9" t="s">
        <v>44</v>
      </c>
      <c r="D99" s="11">
        <v>9616.8185900401259</v>
      </c>
      <c r="E99" s="9">
        <v>1644.3649087421979</v>
      </c>
      <c r="F99" s="9">
        <v>5.8483482218044838</v>
      </c>
      <c r="G99" s="9">
        <v>2.8014285379512352E-2</v>
      </c>
      <c r="H99" s="9">
        <v>2541.68742673628</v>
      </c>
      <c r="I99" s="9">
        <v>16691.949753343972</v>
      </c>
      <c r="J99" s="9">
        <v>2541.68742673628</v>
      </c>
      <c r="K99" s="9">
        <v>16691.949753343972</v>
      </c>
    </row>
    <row r="100" spans="3:11" x14ac:dyDescent="0.3">
      <c r="C100" s="8"/>
      <c r="D100" s="8"/>
      <c r="E100" s="8"/>
      <c r="F100" s="8"/>
      <c r="G100" s="8"/>
      <c r="H100" s="8"/>
      <c r="I100" s="8"/>
      <c r="J100" s="8"/>
      <c r="K100" s="8"/>
    </row>
    <row r="101" spans="3:11" x14ac:dyDescent="0.3">
      <c r="C101" s="8"/>
      <c r="D101" s="8"/>
      <c r="E101" s="8"/>
      <c r="F101" s="8"/>
      <c r="G101" s="8"/>
      <c r="H101" s="8"/>
      <c r="I101" s="8"/>
      <c r="J101" s="8"/>
      <c r="K101" s="8"/>
    </row>
    <row r="102" spans="3:11" x14ac:dyDescent="0.3">
      <c r="C102" s="8"/>
      <c r="D102" s="8"/>
      <c r="E102" s="8"/>
      <c r="F102" s="8"/>
      <c r="G102" s="8"/>
      <c r="H102" s="8"/>
      <c r="I102" s="8"/>
      <c r="J102" s="8"/>
      <c r="K102" s="8"/>
    </row>
    <row r="103" spans="3:11" x14ac:dyDescent="0.3">
      <c r="C103" s="8"/>
      <c r="D103" s="8"/>
      <c r="E103" s="8"/>
      <c r="F103" s="8"/>
      <c r="G103" s="8"/>
      <c r="H103" s="8"/>
      <c r="I103" s="8"/>
      <c r="J103" s="8"/>
      <c r="K103" s="8"/>
    </row>
    <row r="104" spans="3:11" x14ac:dyDescent="0.3">
      <c r="C104" s="8" t="s">
        <v>20</v>
      </c>
      <c r="D104" s="8"/>
      <c r="E104" s="8"/>
      <c r="F104" s="8"/>
      <c r="G104" s="8"/>
      <c r="H104" s="8"/>
      <c r="I104" s="8"/>
      <c r="J104" s="8"/>
      <c r="K104" s="8"/>
    </row>
    <row r="105" spans="3:11" ht="13.8" thickBot="1" x14ac:dyDescent="0.35">
      <c r="C105" s="8"/>
      <c r="D105" s="8"/>
      <c r="E105" s="8"/>
      <c r="F105" s="8"/>
      <c r="G105" s="8"/>
      <c r="H105" s="8"/>
      <c r="I105" s="8"/>
      <c r="J105" s="8"/>
      <c r="K105" s="8"/>
    </row>
    <row r="106" spans="3:11" x14ac:dyDescent="0.3">
      <c r="C106" s="12" t="s">
        <v>21</v>
      </c>
      <c r="D106" s="12"/>
      <c r="E106" s="8"/>
      <c r="F106" s="8"/>
      <c r="G106" s="8"/>
      <c r="H106" s="8"/>
      <c r="I106" s="8"/>
      <c r="J106" s="8"/>
      <c r="K106" s="8"/>
    </row>
    <row r="107" spans="3:11" x14ac:dyDescent="0.3">
      <c r="C107" s="8" t="s">
        <v>22</v>
      </c>
      <c r="D107" s="8">
        <v>0.99823937922920503</v>
      </c>
      <c r="E107" s="8"/>
      <c r="F107" s="8"/>
      <c r="G107" s="8"/>
      <c r="H107" s="8"/>
      <c r="I107" s="8"/>
      <c r="J107" s="8"/>
      <c r="K107" s="8"/>
    </row>
    <row r="108" spans="3:11" x14ac:dyDescent="0.3">
      <c r="C108" s="8" t="s">
        <v>23</v>
      </c>
      <c r="D108" s="8">
        <v>0.99648185824390867</v>
      </c>
      <c r="E108" s="8"/>
      <c r="F108" s="8"/>
      <c r="G108" s="8"/>
      <c r="H108" s="8"/>
      <c r="I108" s="8"/>
      <c r="J108" s="8"/>
      <c r="K108" s="8"/>
    </row>
    <row r="109" spans="3:11" x14ac:dyDescent="0.3">
      <c r="C109" s="8" t="s">
        <v>24</v>
      </c>
      <c r="D109" s="8">
        <v>0.49648185824390867</v>
      </c>
      <c r="E109" s="8"/>
      <c r="F109" s="8"/>
      <c r="G109" s="8"/>
      <c r="H109" s="8"/>
      <c r="I109" s="8"/>
      <c r="J109" s="8"/>
      <c r="K109" s="8"/>
    </row>
    <row r="110" spans="3:11" x14ac:dyDescent="0.3">
      <c r="C110" s="8" t="s">
        <v>25</v>
      </c>
      <c r="D110" s="8">
        <v>65709.488019426775</v>
      </c>
      <c r="E110" s="8"/>
      <c r="F110" s="8"/>
      <c r="G110" s="8"/>
      <c r="H110" s="8"/>
      <c r="I110" s="8"/>
      <c r="J110" s="8"/>
      <c r="K110" s="8"/>
    </row>
    <row r="111" spans="3:11" ht="13.8" thickBot="1" x14ac:dyDescent="0.35">
      <c r="C111" s="9" t="s">
        <v>26</v>
      </c>
      <c r="D111" s="9">
        <v>3</v>
      </c>
      <c r="E111" s="8"/>
      <c r="F111" s="8"/>
      <c r="G111" s="8"/>
      <c r="H111" s="8"/>
      <c r="I111" s="8"/>
      <c r="J111" s="8"/>
      <c r="K111" s="8"/>
    </row>
    <row r="112" spans="3:11" x14ac:dyDescent="0.3">
      <c r="C112" s="8"/>
      <c r="D112" s="8"/>
      <c r="E112" s="8"/>
      <c r="F112" s="8"/>
      <c r="G112" s="8"/>
      <c r="H112" s="8"/>
      <c r="I112" s="8"/>
      <c r="J112" s="8"/>
      <c r="K112" s="8"/>
    </row>
    <row r="113" spans="3:11" ht="13.8" thickBot="1" x14ac:dyDescent="0.35">
      <c r="C113" s="8" t="s">
        <v>27</v>
      </c>
      <c r="D113" s="8"/>
      <c r="E113" s="8"/>
      <c r="F113" s="8"/>
      <c r="G113" s="8"/>
      <c r="H113" s="8"/>
      <c r="I113" s="8"/>
      <c r="J113" s="8"/>
      <c r="K113" s="8"/>
    </row>
    <row r="114" spans="3:11" x14ac:dyDescent="0.3">
      <c r="C114" s="13"/>
      <c r="D114" s="13" t="s">
        <v>32</v>
      </c>
      <c r="E114" s="13" t="s">
        <v>33</v>
      </c>
      <c r="F114" s="13" t="s">
        <v>34</v>
      </c>
      <c r="G114" s="13" t="s">
        <v>35</v>
      </c>
      <c r="H114" s="13" t="s">
        <v>36</v>
      </c>
      <c r="I114" s="8"/>
      <c r="J114" s="8"/>
      <c r="K114" s="8"/>
    </row>
    <row r="115" spans="3:11" x14ac:dyDescent="0.3">
      <c r="C115" s="8" t="s">
        <v>28</v>
      </c>
      <c r="D115" s="8">
        <v>1</v>
      </c>
      <c r="E115" s="8">
        <v>2445919865589.4497</v>
      </c>
      <c r="F115" s="8">
        <v>2445919865589.4497</v>
      </c>
      <c r="G115" s="8">
        <v>566.48192558960272</v>
      </c>
      <c r="H115" s="8">
        <v>2.6732017623613227E-2</v>
      </c>
      <c r="I115" s="8"/>
      <c r="J115" s="8"/>
      <c r="K115" s="8"/>
    </row>
    <row r="116" spans="3:11" x14ac:dyDescent="0.3">
      <c r="C116" s="8" t="s">
        <v>29</v>
      </c>
      <c r="D116" s="8">
        <v>2</v>
      </c>
      <c r="E116" s="8">
        <v>8635473631.5503807</v>
      </c>
      <c r="F116" s="8">
        <v>4317736815.7751904</v>
      </c>
      <c r="G116" s="8"/>
      <c r="H116" s="8"/>
      <c r="I116" s="8"/>
      <c r="J116" s="8"/>
      <c r="K116" s="8"/>
    </row>
    <row r="117" spans="3:11" ht="13.8" thickBot="1" x14ac:dyDescent="0.35">
      <c r="C117" s="9" t="s">
        <v>30</v>
      </c>
      <c r="D117" s="9">
        <v>3</v>
      </c>
      <c r="E117" s="9">
        <v>2454555339221</v>
      </c>
      <c r="F117" s="9"/>
      <c r="G117" s="9"/>
      <c r="H117" s="9"/>
      <c r="I117" s="8"/>
      <c r="J117" s="8"/>
      <c r="K117" s="8"/>
    </row>
    <row r="118" spans="3:11" ht="13.8" thickBot="1" x14ac:dyDescent="0.35">
      <c r="C118" s="8"/>
      <c r="D118" s="8"/>
      <c r="E118" s="8"/>
      <c r="F118" s="8"/>
      <c r="G118" s="8"/>
      <c r="H118" s="8"/>
      <c r="I118" s="8"/>
      <c r="J118" s="8"/>
      <c r="K118" s="8"/>
    </row>
    <row r="119" spans="3:11" x14ac:dyDescent="0.3">
      <c r="C119" s="13"/>
      <c r="D119" s="13" t="s">
        <v>37</v>
      </c>
      <c r="E119" s="13" t="s">
        <v>25</v>
      </c>
      <c r="F119" s="13" t="s">
        <v>38</v>
      </c>
      <c r="G119" s="13" t="s">
        <v>39</v>
      </c>
      <c r="H119" s="13" t="s">
        <v>40</v>
      </c>
      <c r="I119" s="13" t="s">
        <v>41</v>
      </c>
      <c r="J119" s="13" t="s">
        <v>42</v>
      </c>
      <c r="K119" s="13" t="s">
        <v>43</v>
      </c>
    </row>
    <row r="120" spans="3:11" x14ac:dyDescent="0.3">
      <c r="C120" s="8" t="s">
        <v>31</v>
      </c>
      <c r="D120" s="8">
        <v>0</v>
      </c>
      <c r="E120" s="8" t="e">
        <v>#N/A</v>
      </c>
      <c r="F120" s="8" t="e">
        <v>#N/A</v>
      </c>
      <c r="G120" s="8" t="e">
        <v>#N/A</v>
      </c>
      <c r="H120" s="8" t="e">
        <v>#N/A</v>
      </c>
      <c r="I120" s="8" t="e">
        <v>#N/A</v>
      </c>
      <c r="J120" s="8" t="e">
        <v>#N/A</v>
      </c>
      <c r="K120" s="8" t="e">
        <v>#N/A</v>
      </c>
    </row>
    <row r="121" spans="3:11" ht="13.8" thickBot="1" x14ac:dyDescent="0.35">
      <c r="C121" s="9" t="s">
        <v>44</v>
      </c>
      <c r="D121" s="9">
        <v>6671.5769060869179</v>
      </c>
      <c r="E121" s="9">
        <v>280.3079839609594</v>
      </c>
      <c r="F121" s="9">
        <v>23.800880773400014</v>
      </c>
      <c r="G121" s="9">
        <v>1.7606207707949564E-3</v>
      </c>
      <c r="H121" s="9">
        <v>5465.5089937267276</v>
      </c>
      <c r="I121" s="9">
        <v>7877.6448184471083</v>
      </c>
      <c r="J121" s="9">
        <v>5465.5089937267276</v>
      </c>
      <c r="K121" s="9">
        <v>7877.6448184471083</v>
      </c>
    </row>
    <row r="122" spans="3:11" x14ac:dyDescent="0.3">
      <c r="C122" s="8"/>
      <c r="D122" s="8"/>
      <c r="E122" s="8"/>
      <c r="F122" s="8"/>
      <c r="G122" s="8"/>
      <c r="H122" s="8"/>
      <c r="I122" s="8"/>
      <c r="J122" s="8"/>
      <c r="K122" s="8"/>
    </row>
    <row r="123" spans="3:11" x14ac:dyDescent="0.3">
      <c r="C123" s="8"/>
      <c r="D123" s="8"/>
      <c r="E123" s="8"/>
      <c r="F123" s="8"/>
      <c r="G123" s="8"/>
      <c r="H123" s="8"/>
      <c r="I123" s="8"/>
      <c r="J123" s="8"/>
      <c r="K123" s="8"/>
    </row>
    <row r="124" spans="3:11" x14ac:dyDescent="0.25">
      <c r="C124" s="1"/>
      <c r="D124" s="1"/>
      <c r="E124" s="1"/>
      <c r="F124" s="1"/>
      <c r="G124" s="1"/>
      <c r="H124" s="1"/>
      <c r="I124" s="1"/>
      <c r="J124" s="1"/>
      <c r="K124" s="1"/>
    </row>
    <row r="125" spans="3:11" x14ac:dyDescent="0.25">
      <c r="C125" s="1" t="s">
        <v>20</v>
      </c>
      <c r="D125" s="1"/>
      <c r="E125" s="1"/>
      <c r="F125" s="1"/>
      <c r="G125" s="1"/>
      <c r="H125" s="1"/>
      <c r="I125" s="1"/>
      <c r="J125" s="1"/>
      <c r="K125" s="1"/>
    </row>
    <row r="126" spans="3:11" ht="13.8" thickBot="1" x14ac:dyDescent="0.3">
      <c r="C126" s="1"/>
      <c r="D126" s="1"/>
      <c r="E126" s="1"/>
      <c r="F126" s="1"/>
      <c r="G126" s="1"/>
      <c r="H126" s="1"/>
      <c r="I126" s="1"/>
      <c r="J126" s="1"/>
      <c r="K126" s="1"/>
    </row>
    <row r="127" spans="3:11" x14ac:dyDescent="0.25">
      <c r="C127" s="15" t="s">
        <v>21</v>
      </c>
      <c r="D127" s="15"/>
      <c r="E127" s="1"/>
      <c r="F127" s="1"/>
      <c r="G127" s="1"/>
      <c r="H127" s="1"/>
      <c r="I127" s="1"/>
      <c r="J127" s="1"/>
      <c r="K127" s="1"/>
    </row>
    <row r="128" spans="3:11" x14ac:dyDescent="0.25">
      <c r="C128" s="1" t="s">
        <v>22</v>
      </c>
      <c r="D128" s="1">
        <v>0.99997777891074568</v>
      </c>
      <c r="E128" s="1"/>
      <c r="F128" s="1"/>
      <c r="G128" s="1"/>
      <c r="H128" s="1"/>
      <c r="I128" s="1"/>
      <c r="J128" s="1"/>
      <c r="K128" s="1"/>
    </row>
    <row r="129" spans="3:11" x14ac:dyDescent="0.25">
      <c r="C129" s="1" t="s">
        <v>23</v>
      </c>
      <c r="D129" s="1">
        <v>0.99995555831526828</v>
      </c>
      <c r="E129" s="1"/>
      <c r="F129" s="1"/>
      <c r="G129" s="1"/>
      <c r="H129" s="1"/>
      <c r="I129" s="1"/>
      <c r="J129" s="1"/>
      <c r="K129" s="1"/>
    </row>
    <row r="130" spans="3:11" x14ac:dyDescent="0.25">
      <c r="C130" s="1" t="s">
        <v>24</v>
      </c>
      <c r="D130" s="1">
        <v>0.74993333747290247</v>
      </c>
      <c r="E130" s="1"/>
      <c r="F130" s="1"/>
      <c r="G130" s="1"/>
      <c r="H130" s="1"/>
      <c r="I130" s="1"/>
      <c r="J130" s="1"/>
      <c r="K130" s="1"/>
    </row>
    <row r="131" spans="3:11" x14ac:dyDescent="0.25">
      <c r="C131" s="1" t="s">
        <v>25</v>
      </c>
      <c r="D131" s="1">
        <v>133627.28524470623</v>
      </c>
      <c r="E131" s="1"/>
      <c r="F131" s="1"/>
      <c r="G131" s="1"/>
      <c r="H131" s="1"/>
      <c r="I131" s="1"/>
      <c r="J131" s="1"/>
      <c r="K131" s="1"/>
    </row>
    <row r="132" spans="3:11" ht="13.8" thickBot="1" x14ac:dyDescent="0.3">
      <c r="C132" s="16" t="s">
        <v>26</v>
      </c>
      <c r="D132" s="16">
        <v>7</v>
      </c>
      <c r="E132" s="1"/>
      <c r="F132" s="1"/>
      <c r="G132" s="1"/>
      <c r="H132" s="1"/>
      <c r="I132" s="1"/>
      <c r="J132" s="1"/>
      <c r="K132" s="1"/>
    </row>
    <row r="133" spans="3:11" x14ac:dyDescent="0.25">
      <c r="C133" s="1"/>
      <c r="D133" s="1"/>
      <c r="E133" s="1"/>
      <c r="F133" s="1"/>
      <c r="G133" s="1"/>
      <c r="H133" s="1"/>
      <c r="I133" s="1"/>
      <c r="J133" s="1"/>
      <c r="K133" s="1"/>
    </row>
    <row r="134" spans="3:11" ht="13.8" thickBot="1" x14ac:dyDescent="0.3">
      <c r="C134" s="1" t="s">
        <v>27</v>
      </c>
      <c r="D134" s="1"/>
      <c r="E134" s="1"/>
      <c r="F134" s="1"/>
      <c r="G134" s="1"/>
      <c r="H134" s="1"/>
      <c r="I134" s="1"/>
      <c r="J134" s="1"/>
      <c r="K134" s="1"/>
    </row>
    <row r="135" spans="3:11" x14ac:dyDescent="0.25">
      <c r="C135" s="17"/>
      <c r="D135" s="17" t="s">
        <v>32</v>
      </c>
      <c r="E135" s="17" t="s">
        <v>33</v>
      </c>
      <c r="F135" s="17" t="s">
        <v>34</v>
      </c>
      <c r="G135" s="17" t="s">
        <v>35</v>
      </c>
      <c r="H135" s="17" t="s">
        <v>36</v>
      </c>
      <c r="I135" s="1"/>
      <c r="J135" s="1"/>
      <c r="K135" s="1"/>
    </row>
    <row r="136" spans="3:11" x14ac:dyDescent="0.25">
      <c r="C136" s="1" t="s">
        <v>28</v>
      </c>
      <c r="D136" s="1">
        <v>3</v>
      </c>
      <c r="E136" s="1">
        <v>1607090991961543.5</v>
      </c>
      <c r="F136" s="1">
        <v>535696997320514.5</v>
      </c>
      <c r="G136" s="1">
        <v>30000.529588446101</v>
      </c>
      <c r="H136" s="1">
        <v>3.2668516751078672E-7</v>
      </c>
      <c r="I136" s="1"/>
      <c r="J136" s="1"/>
      <c r="K136" s="1"/>
    </row>
    <row r="137" spans="3:11" x14ac:dyDescent="0.25">
      <c r="C137" s="1" t="s">
        <v>29</v>
      </c>
      <c r="D137" s="1">
        <v>4</v>
      </c>
      <c r="E137" s="1">
        <v>71425005447.480347</v>
      </c>
      <c r="F137" s="1">
        <v>17856251361.870087</v>
      </c>
      <c r="G137" s="1"/>
      <c r="H137" s="1"/>
      <c r="I137" s="1"/>
      <c r="J137" s="1"/>
      <c r="K137" s="1"/>
    </row>
    <row r="138" spans="3:11" ht="13.8" thickBot="1" x14ac:dyDescent="0.3">
      <c r="C138" s="16" t="s">
        <v>30</v>
      </c>
      <c r="D138" s="16">
        <v>7</v>
      </c>
      <c r="E138" s="16">
        <v>1607162416966991</v>
      </c>
      <c r="F138" s="16"/>
      <c r="G138" s="16"/>
      <c r="H138" s="16"/>
      <c r="I138" s="1"/>
      <c r="J138" s="1"/>
      <c r="K138" s="1"/>
    </row>
    <row r="139" spans="3:11" ht="13.8" thickBot="1" x14ac:dyDescent="0.3">
      <c r="C139" s="1"/>
      <c r="D139" s="1"/>
      <c r="E139" s="1"/>
      <c r="F139" s="1"/>
      <c r="G139" s="1"/>
      <c r="H139" s="1"/>
      <c r="I139" s="1"/>
      <c r="J139" s="1"/>
      <c r="K139" s="1"/>
    </row>
    <row r="140" spans="3:11" x14ac:dyDescent="0.25">
      <c r="C140" s="17"/>
      <c r="D140" s="17" t="s">
        <v>37</v>
      </c>
      <c r="E140" s="17" t="s">
        <v>25</v>
      </c>
      <c r="F140" s="17" t="s">
        <v>38</v>
      </c>
      <c r="G140" s="17" t="s">
        <v>39</v>
      </c>
      <c r="H140" s="17" t="s">
        <v>40</v>
      </c>
      <c r="I140" s="17" t="s">
        <v>41</v>
      </c>
      <c r="J140" s="17" t="s">
        <v>42</v>
      </c>
      <c r="K140" s="17" t="s">
        <v>43</v>
      </c>
    </row>
    <row r="141" spans="3:11" x14ac:dyDescent="0.25">
      <c r="C141" s="1" t="s">
        <v>31</v>
      </c>
      <c r="D141" s="1">
        <v>0</v>
      </c>
      <c r="E141" s="1" t="e">
        <v>#N/A</v>
      </c>
      <c r="F141" s="1" t="e">
        <v>#N/A</v>
      </c>
      <c r="G141" s="1" t="e">
        <v>#N/A</v>
      </c>
      <c r="H141" s="1" t="e">
        <v>#N/A</v>
      </c>
      <c r="I141" s="1" t="e">
        <v>#N/A</v>
      </c>
      <c r="J141" s="1" t="e">
        <v>#N/A</v>
      </c>
      <c r="K141" s="1" t="e">
        <v>#N/A</v>
      </c>
    </row>
    <row r="142" spans="3:11" x14ac:dyDescent="0.25">
      <c r="C142" s="1" t="s">
        <v>44</v>
      </c>
      <c r="D142" s="1">
        <v>5944.1211724871455</v>
      </c>
      <c r="E142" s="1">
        <v>3616.7954141309374</v>
      </c>
      <c r="F142" s="1">
        <v>1.6434773029359833</v>
      </c>
      <c r="G142" s="1">
        <v>0.1756291667493072</v>
      </c>
      <c r="H142" s="1">
        <v>-4097.7127515785223</v>
      </c>
      <c r="I142" s="1">
        <v>15985.955096552814</v>
      </c>
      <c r="J142" s="1">
        <v>-4097.7127515785223</v>
      </c>
      <c r="K142" s="1">
        <v>15985.955096552814</v>
      </c>
    </row>
    <row r="143" spans="3:11" x14ac:dyDescent="0.25">
      <c r="C143" s="1" t="s">
        <v>49</v>
      </c>
      <c r="D143" s="1">
        <v>-74466.744049075438</v>
      </c>
      <c r="E143" s="1">
        <v>50453.280446498473</v>
      </c>
      <c r="F143" s="1">
        <v>-1.4759544550931878</v>
      </c>
      <c r="G143" s="1">
        <v>0.21399538395440834</v>
      </c>
      <c r="H143" s="1">
        <v>-214547.50758592767</v>
      </c>
      <c r="I143" s="1">
        <v>65614.019487776794</v>
      </c>
      <c r="J143" s="1">
        <v>-214547.50758592767</v>
      </c>
      <c r="K143" s="1">
        <v>65614.019487776794</v>
      </c>
    </row>
    <row r="144" spans="3:11" ht="13.8" thickBot="1" x14ac:dyDescent="0.3">
      <c r="C144" s="16" t="s">
        <v>51</v>
      </c>
      <c r="D144" s="16">
        <v>1.9493004733139312</v>
      </c>
      <c r="E144" s="16">
        <v>0.12510899535358191</v>
      </c>
      <c r="F144" s="16">
        <v>15.580817892469168</v>
      </c>
      <c r="G144" s="16">
        <v>9.9073365644119344E-5</v>
      </c>
      <c r="H144" s="16">
        <v>1.6019422155482652</v>
      </c>
      <c r="I144" s="16">
        <v>2.2966587310795972</v>
      </c>
      <c r="J144" s="16">
        <v>1.6019422155482652</v>
      </c>
      <c r="K144" s="16">
        <v>2.2966587310795972</v>
      </c>
    </row>
    <row r="145" spans="3:11" x14ac:dyDescent="0.25">
      <c r="C145" s="1"/>
      <c r="D145" s="1"/>
      <c r="E145" s="1"/>
      <c r="F145" s="1"/>
      <c r="G145" s="1"/>
      <c r="H145" s="1"/>
      <c r="I145" s="1"/>
      <c r="J145" s="1"/>
      <c r="K145" s="1"/>
    </row>
    <row r="146" spans="3:11" x14ac:dyDescent="0.25">
      <c r="C146" s="1"/>
      <c r="D146" s="1"/>
      <c r="E146" s="1"/>
      <c r="F146" s="1"/>
      <c r="G146" s="1"/>
      <c r="H146" s="1"/>
      <c r="I146" s="1"/>
      <c r="J146" s="1"/>
      <c r="K146" s="1"/>
    </row>
    <row r="147" spans="3:11" x14ac:dyDescent="0.25">
      <c r="C147" s="1"/>
      <c r="D147" s="1"/>
      <c r="E147" s="1"/>
      <c r="F147" s="1"/>
      <c r="G147" s="1"/>
      <c r="H147" s="1"/>
      <c r="I147" s="1"/>
      <c r="J147" s="1"/>
      <c r="K147" s="1"/>
    </row>
    <row r="148" spans="3:11" x14ac:dyDescent="0.3">
      <c r="C148" s="2" t="s">
        <v>53</v>
      </c>
      <c r="D148" s="3">
        <f>D142*AVERAGE(J16:J19)+AVERAGE(L16:L19)*D144</f>
        <v>18741700.844608404</v>
      </c>
    </row>
    <row r="149" spans="3:11" x14ac:dyDescent="0.3">
      <c r="C149" s="2" t="s">
        <v>52</v>
      </c>
      <c r="D149" s="14">
        <f>D143</f>
        <v>-74466.744049075438</v>
      </c>
    </row>
    <row r="152" spans="3:11" x14ac:dyDescent="0.3">
      <c r="C152" s="2" t="s">
        <v>53</v>
      </c>
      <c r="D152" s="3">
        <f>AVERAGE(J20:J22)*D142+D144*AVERAGE(L20:L22)</f>
        <v>23670770.768783242</v>
      </c>
    </row>
    <row r="153" spans="3:11" x14ac:dyDescent="0.3">
      <c r="C153" s="2" t="s">
        <v>52</v>
      </c>
      <c r="D153" s="14">
        <f>D149</f>
        <v>-74466.744049075438</v>
      </c>
    </row>
  </sheetData>
  <mergeCells count="6">
    <mergeCell ref="D2:E3"/>
    <mergeCell ref="C2:C3"/>
    <mergeCell ref="D13:G14"/>
    <mergeCell ref="C13:C14"/>
    <mergeCell ref="C25:C26"/>
    <mergeCell ref="D25:G26"/>
  </mergeCells>
  <phoneticPr fontId="7" type="noConversion"/>
  <pageMargins left="0.7" right="0.7" top="0.75" bottom="0.75" header="0.3" footer="0.3"/>
  <pageSetup paperSize="9" orientation="portrait" r:id="rId1"/>
  <ignoredErrors>
    <ignoredError sqref="H16 H17:H22 H29:H34 D148 D15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1825-22B3-4AE7-91AD-EE2458EAD9EE}">
  <dimension ref="B1:L122"/>
  <sheetViews>
    <sheetView tabSelected="1" topLeftCell="B70" workbookViewId="0">
      <selection activeCell="G75" sqref="G75"/>
    </sheetView>
  </sheetViews>
  <sheetFormatPr defaultRowHeight="13.2" x14ac:dyDescent="0.3"/>
  <cols>
    <col min="1" max="1" width="8.88671875" style="2"/>
    <col min="2" max="2" width="63.21875" style="20" customWidth="1"/>
    <col min="3" max="3" width="13" style="2" customWidth="1"/>
    <col min="4" max="4" width="15.88671875" style="2" customWidth="1"/>
    <col min="5" max="8" width="11.109375" style="2" bestFit="1" customWidth="1"/>
    <col min="9" max="9" width="13.44140625" style="2" bestFit="1" customWidth="1"/>
    <col min="10" max="10" width="14.88671875" style="2" customWidth="1"/>
    <col min="11" max="11" width="13.109375" style="2" customWidth="1"/>
    <col min="12" max="16384" width="8.88671875" style="2"/>
  </cols>
  <sheetData>
    <row r="1" spans="2:12" x14ac:dyDescent="0.3">
      <c r="C1" s="4">
        <v>2018</v>
      </c>
      <c r="D1" s="4">
        <v>2019</v>
      </c>
      <c r="E1" s="4">
        <v>2020</v>
      </c>
      <c r="F1" s="4">
        <v>2021</v>
      </c>
      <c r="G1" s="4">
        <v>2022</v>
      </c>
      <c r="H1" s="4">
        <v>2023</v>
      </c>
      <c r="I1" s="4">
        <v>2024</v>
      </c>
      <c r="J1" s="4" t="s">
        <v>59</v>
      </c>
      <c r="K1" s="4" t="s">
        <v>60</v>
      </c>
    </row>
    <row r="2" spans="2:12" x14ac:dyDescent="0.3">
      <c r="B2" s="20" t="s">
        <v>61</v>
      </c>
      <c r="C2" s="3">
        <v>21722253</v>
      </c>
      <c r="D2" s="3">
        <v>29292485</v>
      </c>
      <c r="E2" s="3">
        <v>18792964</v>
      </c>
      <c r="F2" s="3">
        <v>28801721</v>
      </c>
      <c r="G2" s="3">
        <v>24957891</v>
      </c>
      <c r="H2" s="3">
        <v>35209884</v>
      </c>
      <c r="I2" s="3">
        <v>17967782</v>
      </c>
    </row>
    <row r="3" spans="2:12" x14ac:dyDescent="0.3">
      <c r="B3" s="20" t="s">
        <v>62</v>
      </c>
      <c r="C3" s="10">
        <v>15809660</v>
      </c>
      <c r="D3" s="3">
        <v>25215429</v>
      </c>
      <c r="E3" s="10">
        <v>18429329</v>
      </c>
      <c r="F3" s="3">
        <v>34002783</v>
      </c>
      <c r="G3" s="3">
        <v>45276923</v>
      </c>
      <c r="H3" s="3">
        <v>46611133</v>
      </c>
      <c r="I3" s="3">
        <v>43446248</v>
      </c>
    </row>
    <row r="4" spans="2:12" x14ac:dyDescent="0.3">
      <c r="B4" s="21" t="s">
        <v>119</v>
      </c>
      <c r="C4" s="19">
        <f>C2/C3</f>
        <v>1.373986094577619</v>
      </c>
      <c r="D4" s="19">
        <f t="shared" ref="D4:I4" si="0">D2/D3</f>
        <v>1.1616889405292292</v>
      </c>
      <c r="E4" s="19">
        <f t="shared" si="0"/>
        <v>1.0197313206574152</v>
      </c>
      <c r="F4" s="19">
        <f t="shared" si="0"/>
        <v>0.84704010845229938</v>
      </c>
      <c r="G4" s="19">
        <f t="shared" si="0"/>
        <v>0.5512276309059253</v>
      </c>
      <c r="H4" s="19">
        <f t="shared" si="0"/>
        <v>0.7553964414467248</v>
      </c>
      <c r="I4" s="19">
        <f t="shared" si="0"/>
        <v>0.41356349114427554</v>
      </c>
      <c r="J4" s="19">
        <f>AVERAGE(C4:F4)</f>
        <v>1.1006116160541408</v>
      </c>
      <c r="K4" s="19">
        <f>AVERAGE(G4:I4)</f>
        <v>0.57339585449897523</v>
      </c>
      <c r="L4" s="14"/>
    </row>
    <row r="5" spans="2:12" x14ac:dyDescent="0.3">
      <c r="B5" s="20" t="s">
        <v>63</v>
      </c>
      <c r="C5" s="3">
        <v>2306175</v>
      </c>
      <c r="D5" s="3">
        <v>2500308</v>
      </c>
      <c r="E5" s="3">
        <v>2943856</v>
      </c>
      <c r="F5" s="3">
        <v>2457649</v>
      </c>
      <c r="G5" s="3">
        <v>2707215</v>
      </c>
      <c r="H5" s="3">
        <v>2532574</v>
      </c>
      <c r="I5" s="3">
        <v>2530273</v>
      </c>
      <c r="L5" s="14"/>
    </row>
    <row r="6" spans="2:12" x14ac:dyDescent="0.3">
      <c r="B6" s="20" t="s">
        <v>75</v>
      </c>
      <c r="C6" s="3">
        <f>C2-C5</f>
        <v>19416078</v>
      </c>
      <c r="D6" s="3">
        <f t="shared" ref="D6:I6" si="1">D2-D5</f>
        <v>26792177</v>
      </c>
      <c r="E6" s="3">
        <f t="shared" si="1"/>
        <v>15849108</v>
      </c>
      <c r="F6" s="3">
        <f t="shared" si="1"/>
        <v>26344072</v>
      </c>
      <c r="G6" s="3">
        <f t="shared" si="1"/>
        <v>22250676</v>
      </c>
      <c r="H6" s="3">
        <f t="shared" si="1"/>
        <v>32677310</v>
      </c>
      <c r="I6" s="3">
        <f t="shared" si="1"/>
        <v>15437509</v>
      </c>
      <c r="L6" s="14"/>
    </row>
    <row r="7" spans="2:12" x14ac:dyDescent="0.3">
      <c r="B7" s="21" t="s">
        <v>120</v>
      </c>
      <c r="C7" s="19">
        <f>C6/C3</f>
        <v>1.2281148361191829</v>
      </c>
      <c r="D7" s="19">
        <f t="shared" ref="D7:I7" si="2">D6/D3</f>
        <v>1.0625310796814125</v>
      </c>
      <c r="E7" s="19">
        <f t="shared" si="2"/>
        <v>0.85999376320212206</v>
      </c>
      <c r="F7" s="19">
        <f t="shared" si="2"/>
        <v>0.77476223049154536</v>
      </c>
      <c r="G7" s="19">
        <f t="shared" si="2"/>
        <v>0.49143525058008025</v>
      </c>
      <c r="H7" s="19">
        <f t="shared" si="2"/>
        <v>0.70106234062149919</v>
      </c>
      <c r="I7" s="19">
        <f t="shared" si="2"/>
        <v>0.35532433088353221</v>
      </c>
      <c r="J7" s="19">
        <f>AVERAGE(C7:F7)</f>
        <v>0.98135047737356573</v>
      </c>
      <c r="K7" s="19">
        <f>AVERAGE(G7:I7)</f>
        <v>0.5159406406950372</v>
      </c>
      <c r="L7" s="14"/>
    </row>
    <row r="8" spans="2:12" x14ac:dyDescent="0.3">
      <c r="B8" s="20" t="s">
        <v>76</v>
      </c>
      <c r="C8" s="3">
        <v>10727860</v>
      </c>
      <c r="D8" s="3">
        <v>14023090</v>
      </c>
      <c r="E8" s="3">
        <v>7895952</v>
      </c>
      <c r="F8" s="3">
        <v>18042640</v>
      </c>
      <c r="G8" s="3">
        <v>15037654</v>
      </c>
      <c r="H8" s="3">
        <v>9207092</v>
      </c>
      <c r="I8" s="3">
        <v>6732448</v>
      </c>
      <c r="L8" s="14"/>
    </row>
    <row r="9" spans="2:12" x14ac:dyDescent="0.3">
      <c r="B9" s="20" t="s">
        <v>64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816335</v>
      </c>
      <c r="L9" s="14"/>
    </row>
    <row r="10" spans="2:12" x14ac:dyDescent="0.3">
      <c r="B10" s="21" t="s">
        <v>121</v>
      </c>
      <c r="C10" s="19">
        <f>(C8+C9)/C3</f>
        <v>0.67856361237370066</v>
      </c>
      <c r="D10" s="19">
        <f t="shared" ref="D10:I10" si="3">(D8+D9)/D3</f>
        <v>0.55613132737103144</v>
      </c>
      <c r="E10" s="19">
        <f t="shared" si="3"/>
        <v>0.42844489888915654</v>
      </c>
      <c r="F10" s="19">
        <f t="shared" si="3"/>
        <v>0.53062244934480807</v>
      </c>
      <c r="G10" s="19">
        <f t="shared" si="3"/>
        <v>0.33212623569848154</v>
      </c>
      <c r="H10" s="19">
        <f t="shared" si="3"/>
        <v>0.19752989055211337</v>
      </c>
      <c r="I10" s="19">
        <f t="shared" si="3"/>
        <v>0.17374994038610653</v>
      </c>
      <c r="J10" s="19">
        <f>AVERAGE(C10:F10)</f>
        <v>0.54844057199467411</v>
      </c>
      <c r="K10" s="19">
        <f>AVERAGE(G10:I10)</f>
        <v>0.23446868887890049</v>
      </c>
      <c r="L10" s="14"/>
    </row>
    <row r="11" spans="2:12" x14ac:dyDescent="0.3">
      <c r="B11" s="20" t="s">
        <v>65</v>
      </c>
      <c r="C11" s="3">
        <v>18209062</v>
      </c>
      <c r="D11" s="3">
        <v>24010894</v>
      </c>
      <c r="E11" s="3">
        <v>-15124448</v>
      </c>
      <c r="F11" s="3">
        <v>42950832</v>
      </c>
      <c r="G11" s="3">
        <v>57266171</v>
      </c>
      <c r="H11" s="3">
        <v>56645904</v>
      </c>
      <c r="I11" s="3">
        <v>57025928</v>
      </c>
    </row>
    <row r="12" spans="2:12" x14ac:dyDescent="0.3">
      <c r="B12" s="21" t="s">
        <v>66</v>
      </c>
      <c r="C12" s="19">
        <f>C11/C3</f>
        <v>1.1517680962145929</v>
      </c>
      <c r="D12" s="19">
        <f t="shared" ref="D12:I12" si="4">D11/D3</f>
        <v>0.95223023966794296</v>
      </c>
      <c r="E12" s="19">
        <f t="shared" si="4"/>
        <v>-0.82067274397239309</v>
      </c>
      <c r="F12" s="19">
        <f t="shared" si="4"/>
        <v>1.2631563716416976</v>
      </c>
      <c r="G12" s="19">
        <f t="shared" si="4"/>
        <v>1.2647982063622123</v>
      </c>
      <c r="H12" s="19">
        <f t="shared" si="4"/>
        <v>1.2152870002108724</v>
      </c>
      <c r="I12" s="19">
        <f t="shared" si="4"/>
        <v>1.3125627787237231</v>
      </c>
      <c r="J12" s="19">
        <f>AVERAGE(C12:F12)</f>
        <v>0.63662049088796002</v>
      </c>
      <c r="K12" s="19">
        <f>AVERAGE(G12:I12)</f>
        <v>1.264215995098936</v>
      </c>
    </row>
    <row r="13" spans="2:12" x14ac:dyDescent="0.3">
      <c r="B13" s="20" t="s">
        <v>122</v>
      </c>
      <c r="C13" s="3">
        <f>C11</f>
        <v>18209062</v>
      </c>
      <c r="D13" s="3">
        <f t="shared" ref="D13:I13" si="5">D11</f>
        <v>24010894</v>
      </c>
      <c r="E13" s="3">
        <f t="shared" si="5"/>
        <v>-15124448</v>
      </c>
      <c r="F13" s="3">
        <f t="shared" si="5"/>
        <v>42950832</v>
      </c>
      <c r="G13" s="3">
        <f t="shared" si="5"/>
        <v>57266171</v>
      </c>
      <c r="H13" s="3">
        <f t="shared" si="5"/>
        <v>56645904</v>
      </c>
      <c r="I13" s="3">
        <f t="shared" si="5"/>
        <v>57025928</v>
      </c>
      <c r="J13" s="19"/>
      <c r="K13" s="19"/>
    </row>
    <row r="14" spans="2:12" x14ac:dyDescent="0.3">
      <c r="B14" s="20" t="s">
        <v>123</v>
      </c>
      <c r="C14" s="3">
        <v>6831</v>
      </c>
      <c r="D14" s="3">
        <v>97</v>
      </c>
      <c r="E14" s="3">
        <f>8228516+111361</f>
        <v>8339877</v>
      </c>
      <c r="F14" s="3">
        <v>1476</v>
      </c>
      <c r="G14" s="3">
        <v>112</v>
      </c>
      <c r="H14" s="3">
        <v>78522</v>
      </c>
      <c r="I14" s="3">
        <f>103700+243288</f>
        <v>346988</v>
      </c>
      <c r="J14" s="19"/>
      <c r="K14" s="19"/>
    </row>
    <row r="15" spans="2:12" x14ac:dyDescent="0.3">
      <c r="B15" s="20" t="s">
        <v>124</v>
      </c>
      <c r="C15" s="3">
        <v>12372220</v>
      </c>
      <c r="D15" s="3">
        <f>8228156+111361</f>
        <v>8339517</v>
      </c>
      <c r="E15" s="3">
        <f>9357887+97453</f>
        <v>9455340</v>
      </c>
      <c r="F15" s="3">
        <f>13538475+67033</f>
        <v>13605508</v>
      </c>
      <c r="G15" s="3">
        <f>16683875+60248</f>
        <v>16744123</v>
      </c>
      <c r="H15" s="3">
        <f>19650566+166942</f>
        <v>19817508</v>
      </c>
      <c r="I15" s="3">
        <f>19795046+208637</f>
        <v>20003683</v>
      </c>
      <c r="J15" s="19"/>
      <c r="K15" s="19"/>
    </row>
    <row r="16" spans="2:12" x14ac:dyDescent="0.3">
      <c r="B16" s="21" t="s">
        <v>125</v>
      </c>
      <c r="C16" s="19">
        <f>(C13+C14)/C15</f>
        <v>1.472322105491173</v>
      </c>
      <c r="D16" s="19">
        <f t="shared" ref="D16:I16" si="6">(D13+D14)/D15</f>
        <v>2.8791824514537234</v>
      </c>
      <c r="E16" s="19">
        <f t="shared" si="6"/>
        <v>-0.71753855493297969</v>
      </c>
      <c r="F16" s="19">
        <f t="shared" si="6"/>
        <v>3.1569793645338344</v>
      </c>
      <c r="G16" s="19">
        <f t="shared" si="6"/>
        <v>3.4200825567275155</v>
      </c>
      <c r="H16" s="19">
        <f t="shared" si="6"/>
        <v>2.8623389984250291</v>
      </c>
      <c r="I16" s="19">
        <f t="shared" si="6"/>
        <v>2.8681176361373053</v>
      </c>
      <c r="J16" s="19">
        <f>AVERAGE(C16:F16)</f>
        <v>1.6977363416364377</v>
      </c>
      <c r="K16" s="19">
        <f>AVERAGE(G16:I16)</f>
        <v>3.0501797304299498</v>
      </c>
    </row>
    <row r="17" spans="2:11" x14ac:dyDescent="0.3">
      <c r="B17" s="20" t="s">
        <v>122</v>
      </c>
      <c r="C17" s="3">
        <v>18209062</v>
      </c>
      <c r="D17" s="3">
        <v>24010894</v>
      </c>
      <c r="E17" s="3">
        <v>-15124448</v>
      </c>
      <c r="F17" s="3">
        <v>42950832</v>
      </c>
      <c r="G17" s="3">
        <v>57266171</v>
      </c>
      <c r="H17" s="3">
        <v>56645904</v>
      </c>
      <c r="I17" s="3">
        <v>57025928</v>
      </c>
      <c r="J17" s="19"/>
      <c r="K17" s="19"/>
    </row>
    <row r="18" spans="2:11" x14ac:dyDescent="0.3">
      <c r="B18" s="20" t="s">
        <v>99</v>
      </c>
      <c r="C18" s="3">
        <v>372392541</v>
      </c>
      <c r="D18" s="3">
        <v>366519584</v>
      </c>
      <c r="E18" s="3">
        <v>411384356</v>
      </c>
      <c r="F18" s="3">
        <v>383768445</v>
      </c>
      <c r="G18" s="3">
        <v>374509028</v>
      </c>
      <c r="H18" s="3">
        <v>370241633</v>
      </c>
      <c r="I18" s="3">
        <v>406031043</v>
      </c>
      <c r="J18" s="19"/>
      <c r="K18" s="19"/>
    </row>
    <row r="19" spans="2:11" x14ac:dyDescent="0.3">
      <c r="B19" s="21" t="s">
        <v>126</v>
      </c>
      <c r="C19" s="19">
        <f>C17/C18</f>
        <v>4.8897493894755534E-2</v>
      </c>
      <c r="D19" s="19">
        <f t="shared" ref="D19:I19" si="7">D17/D18</f>
        <v>6.5510534902276873E-2</v>
      </c>
      <c r="E19" s="19">
        <f t="shared" si="7"/>
        <v>-3.6764762148612185E-2</v>
      </c>
      <c r="F19" s="19">
        <f t="shared" si="7"/>
        <v>0.11191861279788129</v>
      </c>
      <c r="G19" s="19">
        <f t="shared" si="7"/>
        <v>0.15290998806042133</v>
      </c>
      <c r="H19" s="19">
        <f t="shared" si="7"/>
        <v>0.15299712120705777</v>
      </c>
      <c r="I19" s="19">
        <f t="shared" si="7"/>
        <v>0.14044721206205901</v>
      </c>
      <c r="J19" s="19">
        <f>AVERAGE(C19:F19)</f>
        <v>4.7390469861575378E-2</v>
      </c>
      <c r="K19" s="19">
        <f>AVERAGE(G19:I19)</f>
        <v>0.1487847737765127</v>
      </c>
    </row>
    <row r="20" spans="2:11" x14ac:dyDescent="0.3">
      <c r="B20" s="20" t="s">
        <v>67</v>
      </c>
      <c r="C20" s="3">
        <v>62368066</v>
      </c>
      <c r="D20" s="3">
        <v>61032304</v>
      </c>
      <c r="E20" s="3">
        <v>31423235</v>
      </c>
      <c r="F20" s="3">
        <v>56039233</v>
      </c>
      <c r="G20" s="3">
        <v>72091810</v>
      </c>
      <c r="H20" s="3">
        <v>76643258</v>
      </c>
      <c r="I20" s="3">
        <v>84297620</v>
      </c>
    </row>
    <row r="21" spans="2:11" x14ac:dyDescent="0.3">
      <c r="B21" s="20" t="s">
        <v>69</v>
      </c>
      <c r="C21" s="3">
        <v>227070</v>
      </c>
      <c r="D21" s="3">
        <v>3749391</v>
      </c>
      <c r="E21" s="3">
        <v>4231897</v>
      </c>
      <c r="F21" s="3">
        <v>6878461</v>
      </c>
      <c r="G21" s="3">
        <v>7913241</v>
      </c>
      <c r="H21" s="3">
        <v>76643258</v>
      </c>
      <c r="I21" s="3">
        <v>11564545</v>
      </c>
    </row>
    <row r="22" spans="2:11" x14ac:dyDescent="0.3">
      <c r="B22" s="20" t="s">
        <v>68</v>
      </c>
      <c r="C22" s="3">
        <v>10864752</v>
      </c>
      <c r="D22" s="3">
        <v>11455237</v>
      </c>
      <c r="E22" s="3">
        <v>8756814</v>
      </c>
      <c r="F22" s="3">
        <v>9265458</v>
      </c>
      <c r="G22" s="3">
        <v>13468798</v>
      </c>
      <c r="H22" s="3">
        <v>16078513</v>
      </c>
      <c r="I22" s="3">
        <v>17539600</v>
      </c>
    </row>
    <row r="23" spans="2:11" x14ac:dyDescent="0.3">
      <c r="B23" s="20" t="s">
        <v>70</v>
      </c>
      <c r="C23" s="3">
        <v>4421420</v>
      </c>
      <c r="D23" s="3">
        <v>2663366</v>
      </c>
      <c r="E23" s="3">
        <v>2486169</v>
      </c>
      <c r="F23" s="3">
        <v>2519659</v>
      </c>
      <c r="G23" s="3">
        <v>2899863</v>
      </c>
      <c r="H23" s="3">
        <v>3379255</v>
      </c>
      <c r="I23" s="3">
        <v>3068226</v>
      </c>
    </row>
    <row r="24" spans="2:11" x14ac:dyDescent="0.3">
      <c r="B24" s="20" t="s">
        <v>71</v>
      </c>
      <c r="C24" s="3">
        <v>25893523</v>
      </c>
      <c r="D24" s="3">
        <v>18841356</v>
      </c>
      <c r="E24" s="3">
        <v>15952817</v>
      </c>
      <c r="F24" s="3">
        <v>16135681</v>
      </c>
      <c r="G24" s="3">
        <v>26144492</v>
      </c>
      <c r="H24" s="3">
        <v>25895977</v>
      </c>
      <c r="I24" s="3">
        <v>22440112</v>
      </c>
    </row>
    <row r="25" spans="2:11" x14ac:dyDescent="0.3">
      <c r="B25" s="20" t="s">
        <v>72</v>
      </c>
      <c r="C25" s="3">
        <f>6511401+3461257</f>
        <v>9972658</v>
      </c>
      <c r="D25" s="3">
        <f>732813+6758588+3478743</f>
        <v>10970144</v>
      </c>
      <c r="E25" s="3">
        <f>561925+7269519+3497291</f>
        <v>11328735</v>
      </c>
      <c r="F25" s="3">
        <f>475080+7851662+3532675</f>
        <v>11859417</v>
      </c>
      <c r="G25" s="3">
        <f>642769+8459061+3651273</f>
        <v>12753103</v>
      </c>
      <c r="H25" s="3">
        <f>8842488+1285701</f>
        <v>10128189</v>
      </c>
      <c r="I25" s="3">
        <f>1995630+9431379</f>
        <v>11427009</v>
      </c>
    </row>
    <row r="26" spans="2:11" x14ac:dyDescent="0.3">
      <c r="B26" s="20" t="s">
        <v>73</v>
      </c>
      <c r="C26" s="3">
        <f>(C20+C21+C22+C23+C24-C25)/365</f>
        <v>256992.25479452056</v>
      </c>
      <c r="D26" s="3">
        <f t="shared" ref="D26:I26" si="8">(D20+D21+D22+D23+D24-D25)/365</f>
        <v>237730.16438356164</v>
      </c>
      <c r="E26" s="3">
        <f t="shared" si="8"/>
        <v>141156.70410958905</v>
      </c>
      <c r="F26" s="3">
        <f t="shared" si="8"/>
        <v>216381.02739726027</v>
      </c>
      <c r="G26" s="3">
        <f t="shared" si="8"/>
        <v>300726.30410958902</v>
      </c>
      <c r="H26" s="3">
        <f t="shared" si="8"/>
        <v>516471.43013698631</v>
      </c>
      <c r="I26" s="3">
        <f t="shared" si="8"/>
        <v>349268.75068493153</v>
      </c>
    </row>
    <row r="27" spans="2:11" x14ac:dyDescent="0.3">
      <c r="B27" s="21" t="s">
        <v>74</v>
      </c>
      <c r="C27" s="18">
        <f>C6/C26</f>
        <v>75.551218520278837</v>
      </c>
      <c r="D27" s="18">
        <f t="shared" ref="D27:I27" si="9">D6/D26</f>
        <v>112.69994730989468</v>
      </c>
      <c r="E27" s="18">
        <f t="shared" si="9"/>
        <v>112.28023564290164</v>
      </c>
      <c r="F27" s="18">
        <f t="shared" si="9"/>
        <v>121.74852997455339</v>
      </c>
      <c r="G27" s="18">
        <f t="shared" si="9"/>
        <v>73.989789705564064</v>
      </c>
      <c r="H27" s="18">
        <f t="shared" si="9"/>
        <v>63.2703148581381</v>
      </c>
      <c r="I27" s="18">
        <f t="shared" si="9"/>
        <v>44.19951389789771</v>
      </c>
      <c r="J27" s="18">
        <f>AVERAGE(C27:F27)</f>
        <v>105.56998286190714</v>
      </c>
      <c r="K27" s="18">
        <f>AVERAGE(G27:I27)</f>
        <v>60.486539487199956</v>
      </c>
    </row>
    <row r="28" spans="2:11" x14ac:dyDescent="0.3">
      <c r="B28" s="20" t="s">
        <v>76</v>
      </c>
      <c r="C28" s="3">
        <f>C8</f>
        <v>10727860</v>
      </c>
      <c r="D28" s="3">
        <f t="shared" ref="D28:I28" si="10">D8</f>
        <v>14023090</v>
      </c>
      <c r="E28" s="3">
        <f t="shared" si="10"/>
        <v>7895952</v>
      </c>
      <c r="F28" s="3">
        <f t="shared" si="10"/>
        <v>18042640</v>
      </c>
      <c r="G28" s="3">
        <f t="shared" si="10"/>
        <v>15037654</v>
      </c>
      <c r="H28" s="3">
        <f t="shared" si="10"/>
        <v>9207092</v>
      </c>
      <c r="I28" s="3">
        <f t="shared" si="10"/>
        <v>6732448</v>
      </c>
    </row>
    <row r="29" spans="2:11" x14ac:dyDescent="0.3">
      <c r="B29" s="20" t="s">
        <v>77</v>
      </c>
      <c r="C29" s="3">
        <f>C9</f>
        <v>0</v>
      </c>
      <c r="D29" s="3">
        <f t="shared" ref="D29:I29" si="11">D9</f>
        <v>0</v>
      </c>
      <c r="E29" s="3">
        <f t="shared" si="11"/>
        <v>0</v>
      </c>
      <c r="F29" s="3">
        <f t="shared" si="11"/>
        <v>0</v>
      </c>
      <c r="G29" s="3">
        <f t="shared" si="11"/>
        <v>0</v>
      </c>
      <c r="H29" s="3">
        <f t="shared" si="11"/>
        <v>0</v>
      </c>
      <c r="I29" s="3">
        <f t="shared" si="11"/>
        <v>816335</v>
      </c>
    </row>
    <row r="30" spans="2:11" x14ac:dyDescent="0.3">
      <c r="B30" s="20" t="s">
        <v>118</v>
      </c>
      <c r="C30" s="3">
        <f>(C20+C21+C22+C23-C25)/365</f>
        <v>186051.09589041097</v>
      </c>
      <c r="D30" s="3">
        <f t="shared" ref="D30:I30" si="12">(D20+D21+D22+D23-D25)/365</f>
        <v>186110.01095890411</v>
      </c>
      <c r="E30" s="3">
        <f t="shared" si="12"/>
        <v>97450.356164383556</v>
      </c>
      <c r="F30" s="3">
        <f t="shared" si="12"/>
        <v>172173.68219178083</v>
      </c>
      <c r="G30" s="3">
        <f t="shared" si="12"/>
        <v>229097.55890410958</v>
      </c>
      <c r="H30" s="3">
        <f t="shared" si="12"/>
        <v>445523.54794520547</v>
      </c>
      <c r="I30" s="3">
        <f t="shared" si="12"/>
        <v>287788.99178082193</v>
      </c>
    </row>
    <row r="31" spans="2:11" x14ac:dyDescent="0.3">
      <c r="B31" s="21" t="s">
        <v>78</v>
      </c>
      <c r="C31" s="18">
        <f>(C28+C29)/C30</f>
        <v>57.660826713533545</v>
      </c>
      <c r="D31" s="18">
        <f t="shared" ref="D31:I31" si="13">(D28+D29)/D30</f>
        <v>75.348391673011662</v>
      </c>
      <c r="E31" s="18">
        <f t="shared" si="13"/>
        <v>81.025378569994757</v>
      </c>
      <c r="F31" s="18">
        <f t="shared" si="13"/>
        <v>104.79325161845969</v>
      </c>
      <c r="G31" s="18">
        <f t="shared" si="13"/>
        <v>65.638647884040168</v>
      </c>
      <c r="H31" s="18">
        <f t="shared" si="13"/>
        <v>20.665780837991466</v>
      </c>
      <c r="I31" s="18">
        <f t="shared" si="13"/>
        <v>26.230270147890508</v>
      </c>
      <c r="J31" s="18">
        <f>AVERAGE(C31:F31)</f>
        <v>79.706962143749905</v>
      </c>
      <c r="K31" s="18">
        <f>AVERAGE(G31:I31)</f>
        <v>37.511566289974049</v>
      </c>
    </row>
    <row r="32" spans="2:11" x14ac:dyDescent="0.3">
      <c r="B32" s="20" t="s">
        <v>67</v>
      </c>
      <c r="C32" s="3">
        <f>C20</f>
        <v>62368066</v>
      </c>
      <c r="D32" s="3">
        <f t="shared" ref="D32:I32" si="14">D20</f>
        <v>61032304</v>
      </c>
      <c r="E32" s="3">
        <f t="shared" si="14"/>
        <v>31423235</v>
      </c>
      <c r="F32" s="3">
        <f t="shared" si="14"/>
        <v>56039233</v>
      </c>
      <c r="G32" s="3">
        <f t="shared" si="14"/>
        <v>72091810</v>
      </c>
      <c r="H32" s="3">
        <f t="shared" si="14"/>
        <v>76643258</v>
      </c>
      <c r="I32" s="3">
        <f t="shared" si="14"/>
        <v>84297620</v>
      </c>
    </row>
    <row r="33" spans="2:11" x14ac:dyDescent="0.3">
      <c r="B33" s="20" t="s">
        <v>63</v>
      </c>
      <c r="C33" s="3">
        <f>C5</f>
        <v>2306175</v>
      </c>
      <c r="D33" s="3">
        <f t="shared" ref="D33:I33" si="15">D5</f>
        <v>2500308</v>
      </c>
      <c r="E33" s="3">
        <f t="shared" si="15"/>
        <v>2943856</v>
      </c>
      <c r="F33" s="3">
        <f t="shared" si="15"/>
        <v>2457649</v>
      </c>
      <c r="G33" s="3">
        <f t="shared" si="15"/>
        <v>2707215</v>
      </c>
      <c r="H33" s="3">
        <f t="shared" si="15"/>
        <v>2532574</v>
      </c>
      <c r="I33" s="3">
        <f t="shared" si="15"/>
        <v>2530273</v>
      </c>
    </row>
    <row r="34" spans="2:11" x14ac:dyDescent="0.3">
      <c r="B34" s="20" t="s">
        <v>79</v>
      </c>
      <c r="C34" s="3">
        <f>(C33+2025069)/2</f>
        <v>2165622</v>
      </c>
      <c r="D34" s="3">
        <f t="shared" ref="D34:I34" si="16">(C33+D33)/2</f>
        <v>2403241.5</v>
      </c>
      <c r="E34" s="3">
        <f t="shared" si="16"/>
        <v>2722082</v>
      </c>
      <c r="F34" s="3">
        <f t="shared" si="16"/>
        <v>2700752.5</v>
      </c>
      <c r="G34" s="3">
        <f t="shared" si="16"/>
        <v>2582432</v>
      </c>
      <c r="H34" s="3">
        <f t="shared" si="16"/>
        <v>2619894.5</v>
      </c>
      <c r="I34" s="3">
        <f t="shared" si="16"/>
        <v>2531423.5</v>
      </c>
    </row>
    <row r="35" spans="2:11" x14ac:dyDescent="0.3">
      <c r="B35" s="21" t="s">
        <v>128</v>
      </c>
      <c r="C35" s="19">
        <f>C32/C34</f>
        <v>28.799146850189</v>
      </c>
      <c r="D35" s="19">
        <f t="shared" ref="D35:I35" si="17">D32/D34</f>
        <v>25.395826428596543</v>
      </c>
      <c r="E35" s="19">
        <f t="shared" si="17"/>
        <v>11.543823808393721</v>
      </c>
      <c r="F35" s="19">
        <f t="shared" si="17"/>
        <v>20.749488522180393</v>
      </c>
      <c r="G35" s="19">
        <f t="shared" si="17"/>
        <v>27.916247165462632</v>
      </c>
      <c r="H35" s="19">
        <f t="shared" si="17"/>
        <v>29.254329897635191</v>
      </c>
      <c r="I35" s="19">
        <f t="shared" si="17"/>
        <v>33.300480934936409</v>
      </c>
      <c r="J35" s="19">
        <f>AVERAGE(C35:F35)</f>
        <v>21.622071402339913</v>
      </c>
      <c r="K35" s="19">
        <f>AVERAGE(G35:I35)</f>
        <v>30.157019332678079</v>
      </c>
    </row>
    <row r="36" spans="2:11" x14ac:dyDescent="0.3">
      <c r="B36" s="21" t="s">
        <v>116</v>
      </c>
      <c r="C36" s="18">
        <f>365/C35</f>
        <v>12.673986555876207</v>
      </c>
      <c r="D36" s="18">
        <f t="shared" ref="D36:I36" si="18">365/D35</f>
        <v>14.37244033094343</v>
      </c>
      <c r="E36" s="18">
        <f t="shared" si="18"/>
        <v>31.618639201215281</v>
      </c>
      <c r="F36" s="18">
        <f t="shared" si="18"/>
        <v>17.590795050674586</v>
      </c>
      <c r="G36" s="18">
        <f t="shared" si="18"/>
        <v>13.074823339849562</v>
      </c>
      <c r="H36" s="18">
        <f t="shared" si="18"/>
        <v>12.47678553148145</v>
      </c>
      <c r="I36" s="18">
        <f t="shared" si="18"/>
        <v>10.960802659671767</v>
      </c>
      <c r="J36" s="18">
        <f>AVERAGE(C36:F36)</f>
        <v>19.063965284677376</v>
      </c>
      <c r="K36" s="18">
        <f>AVERAGE(G36:I36)</f>
        <v>12.170803843667594</v>
      </c>
    </row>
    <row r="37" spans="2:11" x14ac:dyDescent="0.3">
      <c r="B37" s="20" t="s">
        <v>81</v>
      </c>
      <c r="C37" s="3">
        <v>97382105</v>
      </c>
      <c r="D37" s="3">
        <v>104250951</v>
      </c>
      <c r="E37" s="3">
        <v>19545582</v>
      </c>
      <c r="F37" s="3">
        <v>98495001</v>
      </c>
      <c r="G37" s="3">
        <v>127462701</v>
      </c>
      <c r="H37" s="3">
        <v>144593947</v>
      </c>
      <c r="I37" s="3">
        <v>152069206</v>
      </c>
    </row>
    <row r="38" spans="2:11" x14ac:dyDescent="0.3">
      <c r="B38" s="20" t="s">
        <v>82</v>
      </c>
      <c r="C38" s="3">
        <v>8688218</v>
      </c>
      <c r="D38" s="3">
        <v>11499885</v>
      </c>
      <c r="E38" s="3">
        <v>7953156</v>
      </c>
      <c r="F38" s="3">
        <v>7130523</v>
      </c>
      <c r="G38" s="3">
        <v>5927443</v>
      </c>
      <c r="H38" s="3">
        <v>19838581</v>
      </c>
      <c r="I38" s="3">
        <v>5002114</v>
      </c>
    </row>
    <row r="39" spans="2:11" x14ac:dyDescent="0.3">
      <c r="B39" s="20" t="s">
        <v>83</v>
      </c>
      <c r="C39" s="3">
        <f>(C38+9427282)/2</f>
        <v>9057750</v>
      </c>
      <c r="D39" s="3">
        <f t="shared" ref="D39:I39" si="19">(C38+D38)/2</f>
        <v>10094051.5</v>
      </c>
      <c r="E39" s="3">
        <f t="shared" si="19"/>
        <v>9726520.5</v>
      </c>
      <c r="F39" s="3">
        <f t="shared" si="19"/>
        <v>7541839.5</v>
      </c>
      <c r="G39" s="3">
        <f t="shared" si="19"/>
        <v>6528983</v>
      </c>
      <c r="H39" s="3">
        <f t="shared" si="19"/>
        <v>12883012</v>
      </c>
      <c r="I39" s="3">
        <f t="shared" si="19"/>
        <v>12420347.5</v>
      </c>
    </row>
    <row r="40" spans="2:11" x14ac:dyDescent="0.3">
      <c r="B40" s="21" t="s">
        <v>129</v>
      </c>
      <c r="C40" s="19">
        <f>C37/C39</f>
        <v>10.751246722420028</v>
      </c>
      <c r="D40" s="19">
        <f t="shared" ref="D40:I40" si="20">D37/D39</f>
        <v>10.327959095512837</v>
      </c>
      <c r="E40" s="19">
        <f t="shared" si="20"/>
        <v>2.0095142965051069</v>
      </c>
      <c r="F40" s="19">
        <f t="shared" si="20"/>
        <v>13.059811336478322</v>
      </c>
      <c r="G40" s="19">
        <f t="shared" si="20"/>
        <v>19.522596551407776</v>
      </c>
      <c r="H40" s="19">
        <f t="shared" si="20"/>
        <v>11.223613468651585</v>
      </c>
      <c r="I40" s="19">
        <f t="shared" si="20"/>
        <v>12.24355486028068</v>
      </c>
      <c r="J40" s="19">
        <f>AVERAGE(C40:F40)</f>
        <v>9.0371328627290737</v>
      </c>
      <c r="K40" s="19">
        <f>AVERAGE(G40:I40)</f>
        <v>14.329921626780013</v>
      </c>
    </row>
    <row r="41" spans="2:11" x14ac:dyDescent="0.3">
      <c r="B41" s="21" t="s">
        <v>115</v>
      </c>
      <c r="C41" s="18">
        <f>365/C40</f>
        <v>33.949551100790025</v>
      </c>
      <c r="D41" s="18">
        <f t="shared" ref="D41:I41" si="21">365/D40</f>
        <v>35.340961038331443</v>
      </c>
      <c r="E41" s="18">
        <f t="shared" si="21"/>
        <v>181.63593094848747</v>
      </c>
      <c r="F41" s="18">
        <f t="shared" si="21"/>
        <v>27.948336357700022</v>
      </c>
      <c r="G41" s="18">
        <f t="shared" si="21"/>
        <v>18.696283511205369</v>
      </c>
      <c r="H41" s="18">
        <f t="shared" si="21"/>
        <v>32.520720801680582</v>
      </c>
      <c r="I41" s="18">
        <f t="shared" si="21"/>
        <v>29.811603261083643</v>
      </c>
      <c r="J41" s="18">
        <f>AVERAGE(C41:F41)</f>
        <v>69.718694861327236</v>
      </c>
      <c r="K41" s="18">
        <f>AVERAGE(G41:I41)</f>
        <v>27.009535857989864</v>
      </c>
    </row>
    <row r="42" spans="2:11" x14ac:dyDescent="0.3">
      <c r="B42" s="20" t="s">
        <v>84</v>
      </c>
      <c r="C42" s="3">
        <f>C33-2025069+C32</f>
        <v>62649172</v>
      </c>
      <c r="D42" s="3">
        <f t="shared" ref="D42:I42" si="22">D33-C33+D32</f>
        <v>61226437</v>
      </c>
      <c r="E42" s="3">
        <f t="shared" si="22"/>
        <v>31866783</v>
      </c>
      <c r="F42" s="3">
        <f t="shared" si="22"/>
        <v>55553026</v>
      </c>
      <c r="G42" s="3">
        <f t="shared" si="22"/>
        <v>72341376</v>
      </c>
      <c r="H42" s="3">
        <f t="shared" si="22"/>
        <v>76468617</v>
      </c>
      <c r="I42" s="3">
        <f t="shared" si="22"/>
        <v>84295319</v>
      </c>
    </row>
    <row r="43" spans="2:11" x14ac:dyDescent="0.3">
      <c r="B43" s="20" t="s">
        <v>85</v>
      </c>
      <c r="C43" s="3">
        <v>10701495</v>
      </c>
      <c r="D43" s="3">
        <v>13315731</v>
      </c>
      <c r="E43" s="3">
        <v>17296980</v>
      </c>
      <c r="F43" s="3">
        <v>17472150</v>
      </c>
      <c r="G43" s="3">
        <v>24683685</v>
      </c>
      <c r="H43" s="3">
        <v>16983033</v>
      </c>
      <c r="I43" s="3">
        <v>12808008</v>
      </c>
    </row>
    <row r="44" spans="2:11" x14ac:dyDescent="0.3">
      <c r="B44" s="20" t="s">
        <v>86</v>
      </c>
      <c r="C44" s="3">
        <f>(C43+12538252)/2</f>
        <v>11619873.5</v>
      </c>
      <c r="D44" s="3">
        <f t="shared" ref="D44:I44" si="23">(C43+D43)/2</f>
        <v>12008613</v>
      </c>
      <c r="E44" s="3">
        <f t="shared" si="23"/>
        <v>15306355.5</v>
      </c>
      <c r="F44" s="3">
        <f t="shared" si="23"/>
        <v>17384565</v>
      </c>
      <c r="G44" s="3">
        <f t="shared" si="23"/>
        <v>21077917.5</v>
      </c>
      <c r="H44" s="3">
        <f t="shared" si="23"/>
        <v>20833359</v>
      </c>
      <c r="I44" s="3">
        <f t="shared" si="23"/>
        <v>14895520.5</v>
      </c>
    </row>
    <row r="45" spans="2:11" x14ac:dyDescent="0.3">
      <c r="B45" s="21" t="s">
        <v>130</v>
      </c>
      <c r="C45" s="24">
        <f>C42/C44</f>
        <v>5.3915537032309349</v>
      </c>
      <c r="D45" s="24">
        <f t="shared" ref="D45:I45" si="24">D42/D44</f>
        <v>5.0985436036618053</v>
      </c>
      <c r="E45" s="24">
        <f t="shared" si="24"/>
        <v>2.0819314565116431</v>
      </c>
      <c r="F45" s="24">
        <f t="shared" si="24"/>
        <v>3.1955373056501557</v>
      </c>
      <c r="G45" s="24">
        <f t="shared" si="24"/>
        <v>3.432093137284554</v>
      </c>
      <c r="H45" s="24">
        <f t="shared" si="24"/>
        <v>3.6704890939574364</v>
      </c>
      <c r="I45" s="24">
        <f t="shared" si="24"/>
        <v>5.6591052994757716</v>
      </c>
      <c r="J45" s="19">
        <f>AVERAGE(C45:F45)</f>
        <v>3.9418915172636346</v>
      </c>
      <c r="K45" s="19">
        <f>AVERAGE(G45:I45)</f>
        <v>4.2538958435725869</v>
      </c>
    </row>
    <row r="46" spans="2:11" x14ac:dyDescent="0.3">
      <c r="B46" s="21" t="s">
        <v>117</v>
      </c>
      <c r="C46" s="22">
        <f>365/C45</f>
        <v>67.698481753278401</v>
      </c>
      <c r="D46" s="22">
        <f t="shared" ref="D46:I46" si="25">365/D45</f>
        <v>71.58907099232313</v>
      </c>
      <c r="E46" s="22">
        <f t="shared" si="25"/>
        <v>175.31797161640068</v>
      </c>
      <c r="F46" s="22">
        <f t="shared" si="25"/>
        <v>114.22179279666962</v>
      </c>
      <c r="G46" s="22">
        <f t="shared" si="25"/>
        <v>106.34909526050485</v>
      </c>
      <c r="H46" s="22">
        <f t="shared" si="25"/>
        <v>99.441788452902188</v>
      </c>
      <c r="I46" s="22">
        <f t="shared" si="25"/>
        <v>64.497827957682915</v>
      </c>
      <c r="J46" s="18">
        <f>AVERAGE(C46:F46)</f>
        <v>107.20682928966797</v>
      </c>
      <c r="K46" s="18">
        <f>AVERAGE(G46:I46)</f>
        <v>90.096237223696633</v>
      </c>
    </row>
    <row r="47" spans="2:11" x14ac:dyDescent="0.3">
      <c r="B47" s="20" t="s">
        <v>80</v>
      </c>
      <c r="C47" s="3">
        <v>97382105</v>
      </c>
      <c r="D47" s="3">
        <v>104250951</v>
      </c>
      <c r="E47" s="3">
        <v>19545582</v>
      </c>
      <c r="F47" s="3">
        <v>98495001</v>
      </c>
      <c r="G47" s="3">
        <v>127462701</v>
      </c>
      <c r="H47" s="3">
        <v>144593947</v>
      </c>
      <c r="I47" s="3">
        <v>152069206</v>
      </c>
    </row>
    <row r="48" spans="2:11" x14ac:dyDescent="0.3">
      <c r="B48" s="20" t="s">
        <v>87</v>
      </c>
      <c r="C48" s="3">
        <v>466298621</v>
      </c>
      <c r="D48" s="3">
        <v>476456343</v>
      </c>
      <c r="E48" s="3">
        <v>474017845</v>
      </c>
      <c r="F48" s="3">
        <v>480901239</v>
      </c>
      <c r="G48" s="3">
        <v>491207700</v>
      </c>
      <c r="H48" s="3">
        <v>499341943</v>
      </c>
      <c r="I48" s="3">
        <v>554556684</v>
      </c>
    </row>
    <row r="49" spans="2:11" x14ac:dyDescent="0.3">
      <c r="B49" s="20" t="s">
        <v>88</v>
      </c>
      <c r="C49" s="3">
        <f>(C48+457894029)/2</f>
        <v>462096325</v>
      </c>
      <c r="D49" s="3">
        <f t="shared" ref="D49:I49" si="26">(C48+D48)/2</f>
        <v>471377482</v>
      </c>
      <c r="E49" s="3">
        <f t="shared" si="26"/>
        <v>475237094</v>
      </c>
      <c r="F49" s="3">
        <f t="shared" si="26"/>
        <v>477459542</v>
      </c>
      <c r="G49" s="3">
        <f t="shared" si="26"/>
        <v>486054469.5</v>
      </c>
      <c r="H49" s="3">
        <f t="shared" si="26"/>
        <v>495274821.5</v>
      </c>
      <c r="I49" s="3">
        <f t="shared" si="26"/>
        <v>526949313.5</v>
      </c>
    </row>
    <row r="50" spans="2:11" x14ac:dyDescent="0.3">
      <c r="B50" s="21" t="s">
        <v>131</v>
      </c>
      <c r="C50" s="19">
        <f>C47/C49</f>
        <v>0.21073983871219923</v>
      </c>
      <c r="D50" s="19">
        <f t="shared" ref="D50:I50" si="27">D47/D49</f>
        <v>0.22116234860790401</v>
      </c>
      <c r="E50" s="19">
        <f t="shared" si="27"/>
        <v>4.1128064805480022E-2</v>
      </c>
      <c r="F50" s="19">
        <f t="shared" si="27"/>
        <v>0.20628973208372908</v>
      </c>
      <c r="G50" s="19">
        <f t="shared" si="27"/>
        <v>0.26223954103563696</v>
      </c>
      <c r="H50" s="19">
        <f t="shared" si="27"/>
        <v>0.29194689639598409</v>
      </c>
      <c r="I50" s="19">
        <f t="shared" si="27"/>
        <v>0.28858412394534794</v>
      </c>
      <c r="J50" s="19">
        <f>AVERAGE(C50:F50)</f>
        <v>0.16982999605232807</v>
      </c>
      <c r="K50" s="19">
        <f>AVERAGE(G50:I50)</f>
        <v>0.28092352045898966</v>
      </c>
    </row>
    <row r="51" spans="2:11" x14ac:dyDescent="0.3">
      <c r="B51" s="21" t="s">
        <v>90</v>
      </c>
      <c r="C51" s="18">
        <f>C36+C41</f>
        <v>46.62353765666623</v>
      </c>
      <c r="D51" s="18">
        <f t="shared" ref="D51:I51" si="28">D36+D41</f>
        <v>49.713401369274877</v>
      </c>
      <c r="E51" s="18">
        <f t="shared" si="28"/>
        <v>213.25457014970274</v>
      </c>
      <c r="F51" s="18">
        <f t="shared" si="28"/>
        <v>45.539131408374608</v>
      </c>
      <c r="G51" s="18">
        <f t="shared" si="28"/>
        <v>31.771106851054931</v>
      </c>
      <c r="H51" s="18">
        <f t="shared" si="28"/>
        <v>44.997506333162036</v>
      </c>
      <c r="I51" s="18">
        <f t="shared" si="28"/>
        <v>40.772405920755411</v>
      </c>
      <c r="J51" s="18">
        <f>AVERAGE(C51:F51)</f>
        <v>88.782660146004616</v>
      </c>
      <c r="K51" s="18">
        <f>AVERAGE(G51:I51)</f>
        <v>39.180339701657459</v>
      </c>
    </row>
    <row r="52" spans="2:11" x14ac:dyDescent="0.3">
      <c r="B52" s="21" t="s">
        <v>89</v>
      </c>
      <c r="C52" s="18">
        <f>C51-C46</f>
        <v>-21.074944096612171</v>
      </c>
      <c r="D52" s="18">
        <f t="shared" ref="D52:I52" si="29">D51-D46</f>
        <v>-21.875669623048253</v>
      </c>
      <c r="E52" s="18">
        <f t="shared" si="29"/>
        <v>37.93659853330206</v>
      </c>
      <c r="F52" s="18">
        <f t="shared" si="29"/>
        <v>-68.682661388295003</v>
      </c>
      <c r="G52" s="18">
        <f t="shared" si="29"/>
        <v>-74.577988409449915</v>
      </c>
      <c r="H52" s="18">
        <f t="shared" si="29"/>
        <v>-54.444282119740151</v>
      </c>
      <c r="I52" s="18">
        <f t="shared" si="29"/>
        <v>-23.725422036927505</v>
      </c>
      <c r="J52" s="18">
        <f>AVERAGE(C52:F52)</f>
        <v>-18.424169143663342</v>
      </c>
      <c r="K52" s="18">
        <f>AVERAGE(G52:I52)</f>
        <v>-50.915897522039188</v>
      </c>
    </row>
    <row r="53" spans="2:11" x14ac:dyDescent="0.3">
      <c r="B53" s="20" t="s">
        <v>80</v>
      </c>
      <c r="C53" s="3">
        <f>C47</f>
        <v>97382105</v>
      </c>
      <c r="D53" s="3">
        <f>D47</f>
        <v>104250951</v>
      </c>
      <c r="E53" s="3">
        <f>E47</f>
        <v>19545582</v>
      </c>
      <c r="F53" s="3">
        <f>F47</f>
        <v>98495001</v>
      </c>
      <c r="G53" s="3">
        <f>G47</f>
        <v>127462701</v>
      </c>
      <c r="H53" s="3">
        <v>144593947</v>
      </c>
      <c r="I53" s="3">
        <v>152069206</v>
      </c>
    </row>
    <row r="54" spans="2:11" x14ac:dyDescent="0.3">
      <c r="B54" s="20" t="s">
        <v>91</v>
      </c>
      <c r="C54" s="3">
        <f>444576367-1996-121056</f>
        <v>444453315</v>
      </c>
      <c r="D54" s="3">
        <f>342736410+3676661+100677556</f>
        <v>447090627</v>
      </c>
      <c r="E54" s="3">
        <f>354580570+3225936+97350716</f>
        <v>455157222</v>
      </c>
      <c r="F54" s="3">
        <f>353816489+2586617+94385496+0</f>
        <v>450788602</v>
      </c>
      <c r="G54" s="3">
        <f>360921932+2856205+90990120+10000</f>
        <v>454778257</v>
      </c>
      <c r="H54" s="3">
        <f>365302090+87505040+5900+4720732</f>
        <v>457533762</v>
      </c>
      <c r="I54" s="3">
        <f>423731838+84094795+20005000+5287374</f>
        <v>533119007</v>
      </c>
    </row>
    <row r="55" spans="2:11" x14ac:dyDescent="0.3">
      <c r="B55" s="21" t="s">
        <v>132</v>
      </c>
      <c r="C55" s="19">
        <f>C53/C54</f>
        <v>0.21910536318083262</v>
      </c>
      <c r="D55" s="19">
        <f t="shared" ref="D55:I55" si="30">D53/D54</f>
        <v>0.23317632869990809</v>
      </c>
      <c r="E55" s="19">
        <f t="shared" si="30"/>
        <v>4.2942484608098783E-2</v>
      </c>
      <c r="F55" s="19">
        <f t="shared" si="30"/>
        <v>0.21849487889225735</v>
      </c>
      <c r="G55" s="19">
        <f t="shared" si="30"/>
        <v>0.28027439535219467</v>
      </c>
      <c r="H55" s="19">
        <f t="shared" si="30"/>
        <v>0.31602902126379034</v>
      </c>
      <c r="I55" s="19">
        <f t="shared" si="30"/>
        <v>0.28524439009543701</v>
      </c>
      <c r="J55" s="19">
        <f>AVERAGE(C55:F55)</f>
        <v>0.17842976384527423</v>
      </c>
      <c r="K55" s="19">
        <f>AVERAGE(G55:I55)</f>
        <v>0.29384926890380736</v>
      </c>
    </row>
    <row r="56" spans="2:11" x14ac:dyDescent="0.3">
      <c r="B56" s="20" t="s">
        <v>92</v>
      </c>
      <c r="C56" s="3">
        <v>5889968</v>
      </c>
      <c r="D56" s="3">
        <v>6170979</v>
      </c>
      <c r="E56" s="3">
        <v>-32502149</v>
      </c>
      <c r="F56" s="3">
        <v>20172372</v>
      </c>
      <c r="G56" s="3">
        <v>4449407</v>
      </c>
      <c r="H56" s="3">
        <v>14051237</v>
      </c>
      <c r="I56" s="3">
        <v>21378138</v>
      </c>
    </row>
    <row r="57" spans="2:11" x14ac:dyDescent="0.3">
      <c r="B57" s="20" t="s">
        <v>93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</row>
    <row r="58" spans="2:11" x14ac:dyDescent="0.3">
      <c r="B58" s="20" t="s">
        <v>95</v>
      </c>
      <c r="C58" s="3">
        <f>41820477+47166045</f>
        <v>88986522</v>
      </c>
      <c r="D58" s="3">
        <f>41820477+47661045</f>
        <v>89481522</v>
      </c>
      <c r="E58" s="3">
        <f>41820477+47661045</f>
        <v>89481522</v>
      </c>
      <c r="F58" s="3">
        <f>41820477+48156045</f>
        <v>89976522</v>
      </c>
      <c r="G58" s="3">
        <f>41820477+48651045</f>
        <v>90471522</v>
      </c>
      <c r="H58" s="3">
        <f>41820477+48651045</f>
        <v>90471522</v>
      </c>
      <c r="I58" s="3">
        <f>41820477+48651045</f>
        <v>90471522</v>
      </c>
    </row>
    <row r="59" spans="2:11" x14ac:dyDescent="0.3">
      <c r="B59" s="21" t="s">
        <v>94</v>
      </c>
      <c r="C59" s="23">
        <f>(C56-C57)/C58</f>
        <v>6.6189439340038486E-2</v>
      </c>
      <c r="D59" s="23">
        <f t="shared" ref="D59:I59" si="31">(D56-D57)/D58</f>
        <v>6.8963724153015632E-2</v>
      </c>
      <c r="E59" s="23">
        <f t="shared" si="31"/>
        <v>-0.36322749405178872</v>
      </c>
      <c r="F59" s="23">
        <f t="shared" si="31"/>
        <v>0.2241959519173235</v>
      </c>
      <c r="G59" s="23">
        <f t="shared" si="31"/>
        <v>4.9180193962029287E-2</v>
      </c>
      <c r="H59" s="23">
        <f t="shared" si="31"/>
        <v>0.15531115968182785</v>
      </c>
      <c r="I59" s="23">
        <f t="shared" si="31"/>
        <v>0.23629687582795392</v>
      </c>
      <c r="J59" s="23">
        <f>AVERAGE(C59:F59)</f>
        <v>-9.6959466035277664E-4</v>
      </c>
      <c r="K59" s="23">
        <f>AVERAGE(G59:I59)</f>
        <v>0.14692940982393701</v>
      </c>
    </row>
    <row r="60" spans="2:11" x14ac:dyDescent="0.3">
      <c r="B60" s="20" t="s">
        <v>98</v>
      </c>
      <c r="C60" s="3">
        <v>27566651</v>
      </c>
      <c r="D60" s="3">
        <v>26154561</v>
      </c>
      <c r="E60" s="3">
        <v>-24261408</v>
      </c>
      <c r="F60" s="3">
        <v>29581842</v>
      </c>
      <c r="G60" s="3">
        <v>37156043</v>
      </c>
      <c r="H60" s="3">
        <v>44141759</v>
      </c>
      <c r="I60" s="3">
        <v>40172823</v>
      </c>
    </row>
    <row r="61" spans="2:11" x14ac:dyDescent="0.3">
      <c r="B61" s="20" t="s">
        <v>95</v>
      </c>
      <c r="C61" s="3">
        <f>C58</f>
        <v>88986522</v>
      </c>
      <c r="D61" s="3">
        <f t="shared" ref="D61:I61" si="32">D58</f>
        <v>89481522</v>
      </c>
      <c r="E61" s="3">
        <f t="shared" si="32"/>
        <v>89481522</v>
      </c>
      <c r="F61" s="3">
        <f t="shared" si="32"/>
        <v>89976522</v>
      </c>
      <c r="G61" s="3">
        <f t="shared" si="32"/>
        <v>90471522</v>
      </c>
      <c r="H61" s="3">
        <f t="shared" si="32"/>
        <v>90471522</v>
      </c>
      <c r="I61" s="3">
        <f t="shared" si="32"/>
        <v>90471522</v>
      </c>
    </row>
    <row r="62" spans="2:11" x14ac:dyDescent="0.3">
      <c r="B62" s="20" t="s">
        <v>96</v>
      </c>
      <c r="C62" s="3">
        <v>283406019</v>
      </c>
      <c r="D62" s="3">
        <v>277038062</v>
      </c>
      <c r="E62" s="3">
        <v>321902834</v>
      </c>
      <c r="F62" s="3">
        <v>293791923</v>
      </c>
      <c r="G62" s="3">
        <v>284037506</v>
      </c>
      <c r="H62" s="3">
        <v>279770111</v>
      </c>
      <c r="I62" s="3">
        <v>315559521</v>
      </c>
    </row>
    <row r="63" spans="2:11" x14ac:dyDescent="0.3">
      <c r="B63" s="20" t="s">
        <v>99</v>
      </c>
      <c r="C63" s="3">
        <f>C62+C61</f>
        <v>372392541</v>
      </c>
      <c r="D63" s="3">
        <f t="shared" ref="D63:I63" si="33">D62+D61</f>
        <v>366519584</v>
      </c>
      <c r="E63" s="3">
        <f t="shared" si="33"/>
        <v>411384356</v>
      </c>
      <c r="F63" s="3">
        <f t="shared" si="33"/>
        <v>383768445</v>
      </c>
      <c r="G63" s="3">
        <f t="shared" si="33"/>
        <v>374509028</v>
      </c>
      <c r="H63" s="3">
        <f t="shared" si="33"/>
        <v>370241633</v>
      </c>
      <c r="I63" s="3">
        <f t="shared" si="33"/>
        <v>406031043</v>
      </c>
    </row>
    <row r="64" spans="2:11" x14ac:dyDescent="0.3">
      <c r="B64" s="21" t="s">
        <v>127</v>
      </c>
      <c r="C64" s="23">
        <f>C60/C63</f>
        <v>7.4025787213605865E-2</v>
      </c>
      <c r="D64" s="23">
        <f t="shared" ref="D64:I64" si="34">D60/D63</f>
        <v>7.1359245567625657E-2</v>
      </c>
      <c r="E64" s="23">
        <f t="shared" si="34"/>
        <v>-5.8975037932652935E-2</v>
      </c>
      <c r="F64" s="23">
        <f t="shared" si="34"/>
        <v>7.7082528241737017E-2</v>
      </c>
      <c r="G64" s="23">
        <f t="shared" si="34"/>
        <v>9.9212676389739796E-2</v>
      </c>
      <c r="H64" s="23">
        <f t="shared" si="34"/>
        <v>0.11922419054369285</v>
      </c>
      <c r="I64" s="23">
        <f t="shared" si="34"/>
        <v>9.8940274869574449E-2</v>
      </c>
      <c r="J64" s="23">
        <f>AVERAGE(C64:F64)</f>
        <v>4.0873130772578897E-2</v>
      </c>
      <c r="K64" s="23">
        <f>AVERAGE(G64:I64)</f>
        <v>0.10579238060100236</v>
      </c>
    </row>
    <row r="65" spans="2:12" x14ac:dyDescent="0.3">
      <c r="B65" s="20" t="s">
        <v>92</v>
      </c>
      <c r="C65" s="3">
        <f t="shared" ref="C65:I65" si="35">C56</f>
        <v>5889968</v>
      </c>
      <c r="D65" s="3">
        <f t="shared" si="35"/>
        <v>6170979</v>
      </c>
      <c r="E65" s="3">
        <f t="shared" si="35"/>
        <v>-32502149</v>
      </c>
      <c r="F65" s="3">
        <f t="shared" si="35"/>
        <v>20172372</v>
      </c>
      <c r="G65" s="3">
        <f t="shared" si="35"/>
        <v>4449407</v>
      </c>
      <c r="H65" s="3">
        <f t="shared" si="35"/>
        <v>14051237</v>
      </c>
      <c r="I65" s="3">
        <f t="shared" si="35"/>
        <v>21378138</v>
      </c>
      <c r="J65" s="7"/>
      <c r="K65" s="7"/>
    </row>
    <row r="66" spans="2:12" x14ac:dyDescent="0.3">
      <c r="B66" s="20" t="s">
        <v>87</v>
      </c>
      <c r="C66" s="3">
        <f t="shared" ref="C66:I66" si="36">C48</f>
        <v>466298621</v>
      </c>
      <c r="D66" s="3">
        <f t="shared" si="36"/>
        <v>476456343</v>
      </c>
      <c r="E66" s="3">
        <f t="shared" si="36"/>
        <v>474017845</v>
      </c>
      <c r="F66" s="3">
        <f t="shared" si="36"/>
        <v>480901239</v>
      </c>
      <c r="G66" s="3">
        <f t="shared" si="36"/>
        <v>491207700</v>
      </c>
      <c r="H66" s="3">
        <f t="shared" si="36"/>
        <v>499341943</v>
      </c>
      <c r="I66" s="3">
        <f t="shared" si="36"/>
        <v>554556684</v>
      </c>
      <c r="J66" s="7"/>
      <c r="K66" s="7"/>
    </row>
    <row r="67" spans="2:12" x14ac:dyDescent="0.3">
      <c r="B67" s="21" t="s">
        <v>97</v>
      </c>
      <c r="C67" s="23">
        <f>C65/C66</f>
        <v>1.2631321935648615E-2</v>
      </c>
      <c r="D67" s="23">
        <f t="shared" ref="D67:I67" si="37">D65/D66</f>
        <v>1.2951824633385142E-2</v>
      </c>
      <c r="E67" s="23">
        <f t="shared" si="37"/>
        <v>-6.8567353197430778E-2</v>
      </c>
      <c r="F67" s="23">
        <f t="shared" si="37"/>
        <v>4.1947016069135146E-2</v>
      </c>
      <c r="G67" s="23">
        <f t="shared" si="37"/>
        <v>9.0580970127300525E-3</v>
      </c>
      <c r="H67" s="23">
        <f t="shared" si="37"/>
        <v>2.8139508801486759E-2</v>
      </c>
      <c r="I67" s="23">
        <f t="shared" si="37"/>
        <v>3.8549960025366856E-2</v>
      </c>
      <c r="J67" s="23">
        <f>AVERAGE(C67:F67)</f>
        <v>-2.5929763981546831E-4</v>
      </c>
      <c r="K67" s="23">
        <f>AVERAGE(G67:I67)</f>
        <v>2.5249188613194556E-2</v>
      </c>
      <c r="L67" s="7"/>
    </row>
    <row r="68" spans="2:12" x14ac:dyDescent="0.3">
      <c r="B68" s="20" t="s">
        <v>98</v>
      </c>
      <c r="C68" s="3">
        <v>27566651</v>
      </c>
      <c r="D68" s="3">
        <v>26154561</v>
      </c>
      <c r="E68" s="3">
        <v>-24261408</v>
      </c>
      <c r="F68" s="3">
        <v>29581842</v>
      </c>
      <c r="G68" s="3">
        <v>37156043</v>
      </c>
      <c r="H68" s="3">
        <v>44141759</v>
      </c>
      <c r="I68" s="3">
        <v>40172823</v>
      </c>
      <c r="J68" s="23"/>
      <c r="K68" s="23"/>
      <c r="L68" s="7"/>
    </row>
    <row r="69" spans="2:12" x14ac:dyDescent="0.3">
      <c r="B69" s="20" t="s">
        <v>87</v>
      </c>
      <c r="C69" s="3">
        <v>466298621</v>
      </c>
      <c r="D69" s="3">
        <v>476456343</v>
      </c>
      <c r="E69" s="3">
        <v>474017845</v>
      </c>
      <c r="F69" s="3">
        <v>480901239</v>
      </c>
      <c r="G69" s="3">
        <v>491207700</v>
      </c>
      <c r="H69" s="3">
        <v>499341943</v>
      </c>
      <c r="I69" s="3">
        <v>554556684</v>
      </c>
      <c r="J69" s="23"/>
      <c r="K69" s="23"/>
      <c r="L69" s="7"/>
    </row>
    <row r="70" spans="2:12" x14ac:dyDescent="0.3">
      <c r="B70" s="21" t="s">
        <v>140</v>
      </c>
      <c r="C70" s="23">
        <f>C68/C69</f>
        <v>5.9118019566264168E-2</v>
      </c>
      <c r="D70" s="23">
        <f t="shared" ref="D70:I70" si="38">D68/D69</f>
        <v>5.4893929704699092E-2</v>
      </c>
      <c r="E70" s="23">
        <f t="shared" si="38"/>
        <v>-5.118247816176625E-2</v>
      </c>
      <c r="F70" s="23">
        <f t="shared" si="38"/>
        <v>6.1513341203930649E-2</v>
      </c>
      <c r="G70" s="23">
        <f t="shared" si="38"/>
        <v>7.5642224256663726E-2</v>
      </c>
      <c r="H70" s="23">
        <f t="shared" si="38"/>
        <v>8.8399862296366316E-2</v>
      </c>
      <c r="I70" s="23">
        <f t="shared" si="38"/>
        <v>7.2441328648740977E-2</v>
      </c>
      <c r="J70" s="23">
        <f t="shared" ref="J70" si="39">AVERAGE(C70:F70)</f>
        <v>3.1085703078281915E-2</v>
      </c>
      <c r="K70" s="23">
        <f t="shared" ref="K70" si="40">AVERAGE(G70:I70)</f>
        <v>7.8827805067257006E-2</v>
      </c>
      <c r="L70" s="7"/>
    </row>
    <row r="71" spans="2:12" x14ac:dyDescent="0.3">
      <c r="B71" s="20" t="s">
        <v>92</v>
      </c>
      <c r="C71" s="3">
        <f>C65</f>
        <v>5889968</v>
      </c>
      <c r="D71" s="3">
        <f t="shared" ref="D71:I71" si="41">D65</f>
        <v>6170979</v>
      </c>
      <c r="E71" s="3">
        <f t="shared" si="41"/>
        <v>-32502149</v>
      </c>
      <c r="F71" s="3">
        <f t="shared" si="41"/>
        <v>20172372</v>
      </c>
      <c r="G71" s="3">
        <f t="shared" si="41"/>
        <v>4449407</v>
      </c>
      <c r="H71" s="3">
        <f t="shared" si="41"/>
        <v>14051237</v>
      </c>
      <c r="I71" s="3">
        <f t="shared" si="41"/>
        <v>21378138</v>
      </c>
      <c r="J71" s="7"/>
      <c r="K71" s="7"/>
    </row>
    <row r="72" spans="2:12" x14ac:dyDescent="0.3">
      <c r="B72" s="20" t="s">
        <v>80</v>
      </c>
      <c r="C72" s="3">
        <f>C53</f>
        <v>97382105</v>
      </c>
      <c r="D72" s="3">
        <f t="shared" ref="D72:I72" si="42">D53</f>
        <v>104250951</v>
      </c>
      <c r="E72" s="3">
        <f t="shared" si="42"/>
        <v>19545582</v>
      </c>
      <c r="F72" s="3">
        <f t="shared" si="42"/>
        <v>98495001</v>
      </c>
      <c r="G72" s="3">
        <f t="shared" si="42"/>
        <v>127462701</v>
      </c>
      <c r="H72" s="3">
        <f t="shared" si="42"/>
        <v>144593947</v>
      </c>
      <c r="I72" s="3">
        <f t="shared" si="42"/>
        <v>152069206</v>
      </c>
      <c r="J72" s="7"/>
      <c r="K72" s="7"/>
    </row>
    <row r="73" spans="2:12" x14ac:dyDescent="0.3">
      <c r="B73" s="21" t="s">
        <v>135</v>
      </c>
      <c r="C73" s="23">
        <f>C71/C72</f>
        <v>6.0483063084331559E-2</v>
      </c>
      <c r="D73" s="23">
        <f t="shared" ref="D73:I73" si="43">D71/D72</f>
        <v>5.9193503184445773E-2</v>
      </c>
      <c r="E73" s="23">
        <f t="shared" si="43"/>
        <v>-1.6628898029232386</v>
      </c>
      <c r="F73" s="23">
        <f t="shared" si="43"/>
        <v>0.20480604898922738</v>
      </c>
      <c r="G73" s="23">
        <f t="shared" si="43"/>
        <v>3.4907521691384842E-2</v>
      </c>
      <c r="H73" s="23">
        <f t="shared" si="43"/>
        <v>9.7177214479109555E-2</v>
      </c>
      <c r="I73" s="23">
        <f t="shared" si="43"/>
        <v>0.14058163754731515</v>
      </c>
      <c r="J73" s="23">
        <f>AVERAGE(C73:F73)</f>
        <v>-0.33460179691630848</v>
      </c>
      <c r="K73" s="23">
        <f>AVERAGE(G73:I73)</f>
        <v>9.088879123926985E-2</v>
      </c>
    </row>
    <row r="74" spans="2:12" x14ac:dyDescent="0.3">
      <c r="B74" s="20" t="s">
        <v>98</v>
      </c>
      <c r="C74" s="3">
        <f>C60</f>
        <v>27566651</v>
      </c>
      <c r="D74" s="3">
        <f t="shared" ref="D74:I74" si="44">D60</f>
        <v>26154561</v>
      </c>
      <c r="E74" s="3">
        <f t="shared" si="44"/>
        <v>-24261408</v>
      </c>
      <c r="F74" s="3">
        <f t="shared" si="44"/>
        <v>29581842</v>
      </c>
      <c r="G74" s="3">
        <f t="shared" si="44"/>
        <v>37156043</v>
      </c>
      <c r="H74" s="3">
        <f t="shared" si="44"/>
        <v>44141759</v>
      </c>
      <c r="I74" s="3">
        <f t="shared" si="44"/>
        <v>40172823</v>
      </c>
      <c r="J74" s="7"/>
      <c r="K74" s="7"/>
    </row>
    <row r="75" spans="2:12" x14ac:dyDescent="0.3">
      <c r="B75" s="20" t="s">
        <v>80</v>
      </c>
      <c r="C75" s="3">
        <f>C72</f>
        <v>97382105</v>
      </c>
      <c r="D75" s="3">
        <f t="shared" ref="D75:I75" si="45">D72</f>
        <v>104250951</v>
      </c>
      <c r="E75" s="3">
        <f t="shared" si="45"/>
        <v>19545582</v>
      </c>
      <c r="F75" s="3">
        <f t="shared" si="45"/>
        <v>98495001</v>
      </c>
      <c r="G75" s="3">
        <f t="shared" si="45"/>
        <v>127462701</v>
      </c>
      <c r="H75" s="3">
        <f t="shared" si="45"/>
        <v>144593947</v>
      </c>
      <c r="I75" s="3">
        <f t="shared" si="45"/>
        <v>152069206</v>
      </c>
      <c r="J75" s="7"/>
      <c r="K75" s="7"/>
    </row>
    <row r="76" spans="2:12" x14ac:dyDescent="0.3">
      <c r="B76" s="21" t="s">
        <v>134</v>
      </c>
      <c r="C76" s="23">
        <f>C74/C75</f>
        <v>0.28307717316235875</v>
      </c>
      <c r="D76" s="23">
        <f t="shared" ref="D76:I76" si="46">D74/D75</f>
        <v>0.25088079052631374</v>
      </c>
      <c r="E76" s="23">
        <f t="shared" si="46"/>
        <v>-1.2412732452786517</v>
      </c>
      <c r="F76" s="23">
        <f t="shared" si="46"/>
        <v>0.30033851159613673</v>
      </c>
      <c r="G76" s="23">
        <f t="shared" si="46"/>
        <v>0.29150522237874121</v>
      </c>
      <c r="H76" s="23">
        <f t="shared" si="46"/>
        <v>0.30528082202500495</v>
      </c>
      <c r="I76" s="23">
        <f t="shared" si="46"/>
        <v>0.26417460876332843</v>
      </c>
      <c r="J76" s="23">
        <f>AVERAGE(C76:F76)</f>
        <v>-0.10174419249846063</v>
      </c>
      <c r="K76" s="23">
        <f>AVERAGE(G76:I76)</f>
        <v>0.28698688438902487</v>
      </c>
      <c r="L76" s="7"/>
    </row>
    <row r="77" spans="2:12" x14ac:dyDescent="0.3">
      <c r="B77" s="20" t="s">
        <v>100</v>
      </c>
      <c r="C77" s="3">
        <v>35014039</v>
      </c>
      <c r="D77" s="3">
        <v>43218648</v>
      </c>
      <c r="E77" s="3">
        <v>-11877653</v>
      </c>
      <c r="F77" s="3">
        <v>42455768</v>
      </c>
      <c r="G77" s="3">
        <v>55370891</v>
      </c>
      <c r="H77" s="3">
        <v>67950689</v>
      </c>
      <c r="I77" s="3">
        <v>67771586</v>
      </c>
      <c r="J77" s="7"/>
      <c r="K77" s="7"/>
    </row>
    <row r="78" spans="2:12" x14ac:dyDescent="0.3">
      <c r="B78" s="20" t="s">
        <v>80</v>
      </c>
      <c r="C78" s="3">
        <f>C75</f>
        <v>97382105</v>
      </c>
      <c r="D78" s="3">
        <f t="shared" ref="D78:I78" si="47">D75</f>
        <v>104250951</v>
      </c>
      <c r="E78" s="3">
        <f t="shared" si="47"/>
        <v>19545582</v>
      </c>
      <c r="F78" s="3">
        <f t="shared" si="47"/>
        <v>98495001</v>
      </c>
      <c r="G78" s="3">
        <f t="shared" si="47"/>
        <v>127462701</v>
      </c>
      <c r="H78" s="3">
        <f t="shared" si="47"/>
        <v>144593947</v>
      </c>
      <c r="I78" s="3">
        <f t="shared" si="47"/>
        <v>152069206</v>
      </c>
      <c r="J78" s="7"/>
      <c r="K78" s="7"/>
    </row>
    <row r="79" spans="2:12" x14ac:dyDescent="0.3">
      <c r="B79" s="21" t="s">
        <v>133</v>
      </c>
      <c r="C79" s="23">
        <f>C77/C78</f>
        <v>0.35955311296669956</v>
      </c>
      <c r="D79" s="23">
        <f t="shared" ref="D79:I79" si="48">D77/D78</f>
        <v>0.41456358513218744</v>
      </c>
      <c r="E79" s="23">
        <f t="shared" si="48"/>
        <v>-0.60768991171508735</v>
      </c>
      <c r="F79" s="23">
        <f t="shared" si="48"/>
        <v>0.4310449014564709</v>
      </c>
      <c r="G79" s="23">
        <f t="shared" si="48"/>
        <v>0.43440858043640546</v>
      </c>
      <c r="H79" s="23">
        <f t="shared" si="48"/>
        <v>0.4699414492087971</v>
      </c>
      <c r="I79" s="23">
        <f t="shared" si="48"/>
        <v>0.44566278592919067</v>
      </c>
      <c r="J79" s="23">
        <f>AVERAGE(C79:F79)</f>
        <v>0.14936792196006762</v>
      </c>
      <c r="K79" s="23">
        <f>AVERAGE(G79:I79)</f>
        <v>0.45000427185813102</v>
      </c>
    </row>
    <row r="80" spans="2:12" x14ac:dyDescent="0.3">
      <c r="B80" s="20" t="s">
        <v>92</v>
      </c>
      <c r="C80" s="3">
        <v>5889968</v>
      </c>
      <c r="D80" s="3">
        <v>6170979</v>
      </c>
      <c r="E80" s="3">
        <v>-32502149</v>
      </c>
      <c r="F80" s="3">
        <v>20172372</v>
      </c>
      <c r="G80" s="3">
        <v>4449407</v>
      </c>
      <c r="H80" s="3">
        <v>14051237</v>
      </c>
      <c r="I80" s="3">
        <v>21378138</v>
      </c>
      <c r="J80" s="7"/>
      <c r="K80" s="7"/>
      <c r="L80" s="7"/>
    </row>
    <row r="81" spans="2:11" x14ac:dyDescent="0.3">
      <c r="B81" s="20" t="s">
        <v>137</v>
      </c>
      <c r="C81" s="3">
        <v>97382105</v>
      </c>
      <c r="D81" s="3">
        <v>104250951</v>
      </c>
      <c r="E81" s="3">
        <v>19545582</v>
      </c>
      <c r="F81" s="3">
        <v>98495001</v>
      </c>
      <c r="G81" s="3">
        <v>127462701</v>
      </c>
      <c r="H81" s="3">
        <v>144593947</v>
      </c>
      <c r="I81" s="3">
        <v>152069206</v>
      </c>
      <c r="J81" s="7"/>
      <c r="K81" s="7"/>
    </row>
    <row r="82" spans="2:11" x14ac:dyDescent="0.3">
      <c r="B82" s="20" t="s">
        <v>138</v>
      </c>
      <c r="C82" s="3">
        <v>4421420</v>
      </c>
      <c r="D82" s="3">
        <v>4802925</v>
      </c>
      <c r="E82" s="3">
        <v>3143324</v>
      </c>
      <c r="F82" s="3">
        <v>5566670</v>
      </c>
      <c r="G82" s="3">
        <v>5819830</v>
      </c>
      <c r="H82" s="3">
        <v>4605540</v>
      </c>
      <c r="I82" s="3">
        <v>4585382</v>
      </c>
      <c r="J82" s="7"/>
      <c r="K82" s="7"/>
    </row>
    <row r="83" spans="2:11" x14ac:dyDescent="0.3">
      <c r="B83" s="20" t="s">
        <v>139</v>
      </c>
      <c r="C83" s="3">
        <v>6831</v>
      </c>
      <c r="D83" s="3">
        <v>97</v>
      </c>
      <c r="E83" s="3">
        <v>251384</v>
      </c>
      <c r="F83" s="3">
        <v>8232251</v>
      </c>
      <c r="G83" s="3">
        <v>10970510</v>
      </c>
      <c r="H83" s="3">
        <v>285738</v>
      </c>
      <c r="I83" s="3">
        <v>10450702</v>
      </c>
      <c r="J83" s="7"/>
      <c r="K83" s="7"/>
    </row>
    <row r="84" spans="2:11" x14ac:dyDescent="0.3">
      <c r="B84" s="21" t="s">
        <v>136</v>
      </c>
      <c r="C84" s="23">
        <f>C80/(C81+C82+C83)</f>
        <v>5.785234657268068E-2</v>
      </c>
      <c r="D84" s="23">
        <f t="shared" ref="D84:H84" si="49">D80/(D81+D82+D83)</f>
        <v>5.6586466593014452E-2</v>
      </c>
      <c r="E84" s="23">
        <f t="shared" si="49"/>
        <v>-1.4168150882137933</v>
      </c>
      <c r="F84" s="23">
        <f t="shared" si="49"/>
        <v>0.17963903691955829</v>
      </c>
      <c r="G84" s="23">
        <f t="shared" si="49"/>
        <v>3.0844458939343955E-2</v>
      </c>
      <c r="H84" s="23">
        <f t="shared" si="49"/>
        <v>9.3997497077052267E-2</v>
      </c>
      <c r="I84" s="23">
        <f>I80/(I81+I82+I83)</f>
        <v>0.12793214385971863</v>
      </c>
      <c r="J84" s="23">
        <f>AVERAGE(C84:F84)</f>
        <v>-0.28068430953213497</v>
      </c>
      <c r="K84" s="23">
        <f>AVERAGE(G84:I84)</f>
        <v>8.4258033292038292E-2</v>
      </c>
    </row>
    <row r="85" spans="2:11" x14ac:dyDescent="0.3">
      <c r="B85" s="20" t="s">
        <v>98</v>
      </c>
      <c r="C85" s="3">
        <f t="shared" ref="C85:I85" si="50">C74</f>
        <v>27566651</v>
      </c>
      <c r="D85" s="3">
        <f t="shared" si="50"/>
        <v>26154561</v>
      </c>
      <c r="E85" s="3">
        <f t="shared" si="50"/>
        <v>-24261408</v>
      </c>
      <c r="F85" s="3">
        <f t="shared" si="50"/>
        <v>29581842</v>
      </c>
      <c r="G85" s="3">
        <f t="shared" si="50"/>
        <v>37156043</v>
      </c>
      <c r="H85" s="3">
        <f t="shared" si="50"/>
        <v>44141759</v>
      </c>
      <c r="I85" s="3">
        <f t="shared" si="50"/>
        <v>40172823</v>
      </c>
    </row>
    <row r="86" spans="2:11" x14ac:dyDescent="0.3">
      <c r="B86" s="20" t="s">
        <v>72</v>
      </c>
      <c r="C86" s="3">
        <f>C25</f>
        <v>9972658</v>
      </c>
      <c r="D86" s="3">
        <f t="shared" ref="D86:I86" si="51">D25</f>
        <v>10970144</v>
      </c>
      <c r="E86" s="3">
        <f t="shared" si="51"/>
        <v>11328735</v>
      </c>
      <c r="F86" s="3">
        <f t="shared" si="51"/>
        <v>11859417</v>
      </c>
      <c r="G86" s="3">
        <f t="shared" si="51"/>
        <v>12753103</v>
      </c>
      <c r="H86" s="3">
        <f t="shared" si="51"/>
        <v>10128189</v>
      </c>
      <c r="I86" s="3">
        <f t="shared" si="51"/>
        <v>11427009</v>
      </c>
    </row>
    <row r="87" spans="2:11" x14ac:dyDescent="0.3">
      <c r="B87" s="20" t="s">
        <v>101</v>
      </c>
      <c r="C87" s="3">
        <v>12372220</v>
      </c>
      <c r="D87" s="3">
        <v>8228156</v>
      </c>
      <c r="E87" s="3">
        <v>9357887</v>
      </c>
      <c r="F87" s="3">
        <v>13538475</v>
      </c>
      <c r="G87" s="3">
        <v>16683875</v>
      </c>
      <c r="H87" s="3">
        <v>19650566</v>
      </c>
      <c r="I87" s="3">
        <v>19795046</v>
      </c>
    </row>
    <row r="88" spans="2:11" x14ac:dyDescent="0.3">
      <c r="B88" s="21" t="s">
        <v>113</v>
      </c>
      <c r="C88" s="19">
        <f>(C85+C86)/C87</f>
        <v>3.0341611287222503</v>
      </c>
      <c r="D88" s="19">
        <f t="shared" ref="D88:I88" si="52">(D85+D86)/D87</f>
        <v>4.5119106881298796</v>
      </c>
      <c r="E88" s="19">
        <f t="shared" si="52"/>
        <v>-1.3820078186453844</v>
      </c>
      <c r="F88" s="19">
        <f t="shared" si="52"/>
        <v>3.060999041620271</v>
      </c>
      <c r="G88" s="19">
        <f t="shared" si="52"/>
        <v>2.9914600774700122</v>
      </c>
      <c r="H88" s="19">
        <f t="shared" si="52"/>
        <v>2.7617498651183889</v>
      </c>
      <c r="I88" s="19">
        <f t="shared" si="52"/>
        <v>2.6067043239000305</v>
      </c>
      <c r="J88" s="19">
        <f>AVERAGE(C88:F88)</f>
        <v>2.3062657599567542</v>
      </c>
      <c r="K88" s="19">
        <f>AVERAGE(G88:I88)</f>
        <v>2.7866380888294771</v>
      </c>
    </row>
    <row r="89" spans="2:11" x14ac:dyDescent="0.3">
      <c r="B89" s="20" t="s">
        <v>98</v>
      </c>
      <c r="C89" s="3">
        <f t="shared" ref="C89:I89" si="53">C85</f>
        <v>27566651</v>
      </c>
      <c r="D89" s="3">
        <f t="shared" si="53"/>
        <v>26154561</v>
      </c>
      <c r="E89" s="3">
        <f t="shared" si="53"/>
        <v>-24261408</v>
      </c>
      <c r="F89" s="3">
        <f t="shared" si="53"/>
        <v>29581842</v>
      </c>
      <c r="G89" s="3">
        <f t="shared" si="53"/>
        <v>37156043</v>
      </c>
      <c r="H89" s="3">
        <f t="shared" si="53"/>
        <v>44141759</v>
      </c>
      <c r="I89" s="3">
        <f t="shared" si="53"/>
        <v>40172823</v>
      </c>
      <c r="J89" s="19"/>
      <c r="K89" s="19"/>
    </row>
    <row r="90" spans="2:11" x14ac:dyDescent="0.3">
      <c r="B90" s="20" t="s">
        <v>101</v>
      </c>
      <c r="C90" s="3">
        <f>C87</f>
        <v>12372220</v>
      </c>
      <c r="D90" s="3">
        <f t="shared" ref="D90:I90" si="54">D87</f>
        <v>8228156</v>
      </c>
      <c r="E90" s="3">
        <f t="shared" si="54"/>
        <v>9357887</v>
      </c>
      <c r="F90" s="3">
        <f t="shared" si="54"/>
        <v>13538475</v>
      </c>
      <c r="G90" s="3">
        <f t="shared" si="54"/>
        <v>16683875</v>
      </c>
      <c r="H90" s="3">
        <f t="shared" si="54"/>
        <v>19650566</v>
      </c>
      <c r="I90" s="3">
        <f t="shared" si="54"/>
        <v>19795046</v>
      </c>
      <c r="J90" s="19"/>
      <c r="K90" s="19"/>
    </row>
    <row r="91" spans="2:11" x14ac:dyDescent="0.3">
      <c r="B91" s="21" t="s">
        <v>114</v>
      </c>
      <c r="C91" s="19">
        <f>C89/C90</f>
        <v>2.228108698358096</v>
      </c>
      <c r="D91" s="19">
        <f t="shared" ref="D91:I91" si="55">D89/D90</f>
        <v>3.1786661555760487</v>
      </c>
      <c r="E91" s="19">
        <f t="shared" si="55"/>
        <v>-2.5926160467635482</v>
      </c>
      <c r="F91" s="19">
        <f t="shared" si="55"/>
        <v>2.1850202478491854</v>
      </c>
      <c r="G91" s="19">
        <f t="shared" si="55"/>
        <v>2.2270631373107266</v>
      </c>
      <c r="H91" s="19">
        <f t="shared" si="55"/>
        <v>2.2463352455089587</v>
      </c>
      <c r="I91" s="19">
        <f t="shared" si="55"/>
        <v>2.029438224088997</v>
      </c>
      <c r="J91" s="19">
        <f t="shared" ref="J91" si="56">AVERAGE(C91:F91)</f>
        <v>1.2497947637549456</v>
      </c>
      <c r="K91" s="19">
        <f t="shared" ref="K91" si="57">AVERAGE(G91:I91)</f>
        <v>2.1676122023028941</v>
      </c>
    </row>
    <row r="92" spans="2:11" x14ac:dyDescent="0.3">
      <c r="B92" s="20" t="s">
        <v>98</v>
      </c>
      <c r="C92" s="3">
        <f t="shared" ref="C92:I92" si="58">C74</f>
        <v>27566651</v>
      </c>
      <c r="D92" s="3">
        <f t="shared" si="58"/>
        <v>26154561</v>
      </c>
      <c r="E92" s="3">
        <f t="shared" si="58"/>
        <v>-24261408</v>
      </c>
      <c r="F92" s="3">
        <f t="shared" si="58"/>
        <v>29581842</v>
      </c>
      <c r="G92" s="3">
        <f t="shared" si="58"/>
        <v>37156043</v>
      </c>
      <c r="H92" s="3">
        <f t="shared" si="58"/>
        <v>44141759</v>
      </c>
      <c r="I92" s="3">
        <f t="shared" si="58"/>
        <v>40172823</v>
      </c>
    </row>
    <row r="93" spans="2:11" x14ac:dyDescent="0.3">
      <c r="B93" s="20" t="s">
        <v>104</v>
      </c>
      <c r="C93" s="3">
        <v>1679959</v>
      </c>
      <c r="D93" s="3">
        <v>7313302</v>
      </c>
      <c r="E93" s="3">
        <v>-39962842</v>
      </c>
      <c r="F93" s="3">
        <v>21678412</v>
      </c>
      <c r="G93" s="3">
        <v>21982061</v>
      </c>
      <c r="H93" s="3">
        <v>18531520</v>
      </c>
      <c r="I93" s="3">
        <v>28183413</v>
      </c>
    </row>
    <row r="94" spans="2:11" x14ac:dyDescent="0.3">
      <c r="B94" s="21" t="s">
        <v>103</v>
      </c>
      <c r="C94" s="19">
        <f>C92/C93</f>
        <v>16.409121294031582</v>
      </c>
      <c r="D94" s="19">
        <f t="shared" ref="D94:I94" si="59">D92/D93</f>
        <v>3.5762998711115719</v>
      </c>
      <c r="E94" s="19">
        <f t="shared" si="59"/>
        <v>0.6070991647691123</v>
      </c>
      <c r="F94" s="19">
        <f t="shared" si="59"/>
        <v>1.3645760584308482</v>
      </c>
      <c r="G94" s="19">
        <f t="shared" si="59"/>
        <v>1.6902893227345699</v>
      </c>
      <c r="H94" s="19">
        <f t="shared" si="59"/>
        <v>2.3819826436255633</v>
      </c>
      <c r="I94" s="19">
        <f t="shared" si="59"/>
        <v>1.4254066035224335</v>
      </c>
      <c r="J94" s="19">
        <f>AVERAGE(C94:F94)</f>
        <v>5.4892740970857794</v>
      </c>
      <c r="K94" s="19">
        <f>AVERAGE(G94:I94)</f>
        <v>1.8325595232941889</v>
      </c>
    </row>
    <row r="95" spans="2:11" x14ac:dyDescent="0.3">
      <c r="B95" s="20" t="s">
        <v>142</v>
      </c>
      <c r="C95" s="3">
        <v>41820477</v>
      </c>
      <c r="D95" s="3">
        <v>41820477</v>
      </c>
      <c r="E95" s="3">
        <v>41820477</v>
      </c>
      <c r="F95" s="3">
        <v>41820477</v>
      </c>
      <c r="G95" s="3">
        <v>41820477</v>
      </c>
      <c r="H95" s="3">
        <v>41820477</v>
      </c>
      <c r="I95" s="3">
        <v>41820477</v>
      </c>
      <c r="J95" s="19"/>
      <c r="K95" s="19"/>
    </row>
    <row r="96" spans="2:11" x14ac:dyDescent="0.3">
      <c r="B96" s="20" t="s">
        <v>143</v>
      </c>
      <c r="C96" s="3">
        <v>47166044</v>
      </c>
      <c r="D96" s="3">
        <v>47166044</v>
      </c>
      <c r="E96" s="3">
        <v>47661045</v>
      </c>
      <c r="F96" s="3">
        <v>48156045</v>
      </c>
      <c r="G96" s="3">
        <v>48651045</v>
      </c>
      <c r="H96" s="3">
        <v>48651045</v>
      </c>
      <c r="I96" s="3">
        <v>48651045</v>
      </c>
      <c r="J96" s="19"/>
      <c r="K96" s="19"/>
    </row>
    <row r="97" spans="2:11" x14ac:dyDescent="0.3">
      <c r="B97" s="21" t="s">
        <v>141</v>
      </c>
      <c r="C97" s="19">
        <f>C95/C96</f>
        <v>0.88666492784512518</v>
      </c>
      <c r="D97" s="19">
        <f t="shared" ref="D97:I97" si="60">D95/D96</f>
        <v>0.88666492784512518</v>
      </c>
      <c r="E97" s="19">
        <f t="shared" si="60"/>
        <v>0.87745614893672597</v>
      </c>
      <c r="F97" s="19">
        <f t="shared" si="60"/>
        <v>0.86843670405241957</v>
      </c>
      <c r="G97" s="19">
        <f t="shared" si="60"/>
        <v>0.85960079583079874</v>
      </c>
      <c r="H97" s="19">
        <f t="shared" si="60"/>
        <v>0.85960079583079874</v>
      </c>
      <c r="I97" s="19">
        <f t="shared" si="60"/>
        <v>0.85960079583079874</v>
      </c>
      <c r="J97" s="19">
        <f t="shared" ref="J97" si="61">AVERAGE(C97:F97)</f>
        <v>0.87980567716984892</v>
      </c>
      <c r="K97" s="19">
        <f t="shared" ref="K97" si="62">AVERAGE(G97:I97)</f>
        <v>0.85960079583079863</v>
      </c>
    </row>
    <row r="98" spans="2:11" x14ac:dyDescent="0.3">
      <c r="B98" s="20" t="s">
        <v>106</v>
      </c>
      <c r="C98" s="3">
        <v>363036925</v>
      </c>
      <c r="D98" s="3">
        <v>367031351</v>
      </c>
      <c r="E98" s="3">
        <v>397074055</v>
      </c>
      <c r="F98" s="3">
        <v>383497923</v>
      </c>
      <c r="G98" s="3">
        <v>389180101</v>
      </c>
      <c r="H98" s="3">
        <v>389565179</v>
      </c>
      <c r="I98" s="3">
        <v>423492241</v>
      </c>
    </row>
    <row r="99" spans="2:11" x14ac:dyDescent="0.3">
      <c r="B99" s="20" t="s">
        <v>87</v>
      </c>
      <c r="C99" s="3">
        <f t="shared" ref="C99:I99" si="63">C66</f>
        <v>466298621</v>
      </c>
      <c r="D99" s="3">
        <f t="shared" si="63"/>
        <v>476456343</v>
      </c>
      <c r="E99" s="3">
        <f t="shared" si="63"/>
        <v>474017845</v>
      </c>
      <c r="F99" s="3">
        <f t="shared" si="63"/>
        <v>480901239</v>
      </c>
      <c r="G99" s="3">
        <f t="shared" si="63"/>
        <v>491207700</v>
      </c>
      <c r="H99" s="3">
        <f t="shared" si="63"/>
        <v>499341943</v>
      </c>
      <c r="I99" s="3">
        <f t="shared" si="63"/>
        <v>554556684</v>
      </c>
    </row>
    <row r="100" spans="2:11" x14ac:dyDescent="0.3">
      <c r="B100" s="21" t="s">
        <v>105</v>
      </c>
      <c r="C100" s="23">
        <f>C98/C99</f>
        <v>0.77855028655553327</v>
      </c>
      <c r="D100" s="23">
        <f t="shared" ref="D100:I100" si="64">D98/D99</f>
        <v>0.77033574301685814</v>
      </c>
      <c r="E100" s="23">
        <f t="shared" si="64"/>
        <v>0.83767744018160328</v>
      </c>
      <c r="F100" s="23">
        <f t="shared" si="64"/>
        <v>0.79745671647146665</v>
      </c>
      <c r="G100" s="23">
        <f t="shared" si="64"/>
        <v>0.7922923459872474</v>
      </c>
      <c r="H100" s="23">
        <f t="shared" si="64"/>
        <v>0.78015713372589657</v>
      </c>
      <c r="I100" s="23">
        <f t="shared" si="64"/>
        <v>0.7636590689798628</v>
      </c>
      <c r="J100" s="19">
        <f>AVERAGE(C100:F100)</f>
        <v>0.79600504655636528</v>
      </c>
      <c r="K100" s="19">
        <f>AVERAGE(G100:I100)</f>
        <v>0.77870284956433566</v>
      </c>
    </row>
    <row r="101" spans="2:11" x14ac:dyDescent="0.3">
      <c r="B101" s="20" t="s">
        <v>107</v>
      </c>
      <c r="C101" s="3">
        <v>347227265</v>
      </c>
      <c r="D101" s="3">
        <v>341815923</v>
      </c>
      <c r="E101" s="3">
        <v>378644725</v>
      </c>
      <c r="F101" s="3">
        <v>349495140</v>
      </c>
      <c r="G101" s="3">
        <v>343903178</v>
      </c>
      <c r="H101" s="3">
        <v>342954046</v>
      </c>
      <c r="I101" s="3">
        <v>380045993</v>
      </c>
    </row>
    <row r="102" spans="2:11" x14ac:dyDescent="0.3">
      <c r="B102" s="20" t="s">
        <v>108</v>
      </c>
      <c r="C102" s="3">
        <f>C99</f>
        <v>466298621</v>
      </c>
      <c r="D102" s="3">
        <f t="shared" ref="D102:I102" si="65">D99</f>
        <v>476456343</v>
      </c>
      <c r="E102" s="3">
        <f t="shared" si="65"/>
        <v>474017845</v>
      </c>
      <c r="F102" s="3">
        <f t="shared" si="65"/>
        <v>480901239</v>
      </c>
      <c r="G102" s="3">
        <f t="shared" si="65"/>
        <v>491207700</v>
      </c>
      <c r="H102" s="3">
        <f t="shared" si="65"/>
        <v>499341943</v>
      </c>
      <c r="I102" s="3">
        <f t="shared" si="65"/>
        <v>554556684</v>
      </c>
    </row>
    <row r="103" spans="2:11" x14ac:dyDescent="0.3">
      <c r="B103" s="21" t="s">
        <v>102</v>
      </c>
      <c r="C103" s="23">
        <f>C101/C102</f>
        <v>0.74464570419563814</v>
      </c>
      <c r="D103" s="23">
        <f t="shared" ref="D103:I103" si="66">D101/D102</f>
        <v>0.71741289211884829</v>
      </c>
      <c r="E103" s="23">
        <f t="shared" si="66"/>
        <v>0.79879846084697503</v>
      </c>
      <c r="F103" s="23">
        <f t="shared" si="66"/>
        <v>0.72675034218408407</v>
      </c>
      <c r="G103" s="23">
        <f t="shared" si="66"/>
        <v>0.70011764473561799</v>
      </c>
      <c r="H103" s="23">
        <f t="shared" si="66"/>
        <v>0.68681201490818888</v>
      </c>
      <c r="I103" s="23">
        <f t="shared" si="66"/>
        <v>0.68531496232042532</v>
      </c>
      <c r="J103" s="19">
        <f>AVERAGE(C103:F103)</f>
        <v>0.74690184983638641</v>
      </c>
      <c r="K103" s="19">
        <f>AVERAGE(G103:I103)</f>
        <v>0.69074820732141085</v>
      </c>
    </row>
    <row r="104" spans="2:11" x14ac:dyDescent="0.3">
      <c r="B104" s="20" t="s">
        <v>106</v>
      </c>
      <c r="C104" s="3">
        <f>C98</f>
        <v>363036925</v>
      </c>
      <c r="D104" s="3">
        <f t="shared" ref="D104:I104" si="67">D98</f>
        <v>367031351</v>
      </c>
      <c r="E104" s="3">
        <f t="shared" si="67"/>
        <v>397074055</v>
      </c>
      <c r="F104" s="3">
        <f t="shared" si="67"/>
        <v>383497923</v>
      </c>
      <c r="G104" s="3">
        <f t="shared" si="67"/>
        <v>389180101</v>
      </c>
      <c r="H104" s="3">
        <f t="shared" si="67"/>
        <v>389565179</v>
      </c>
      <c r="I104" s="3">
        <f t="shared" si="67"/>
        <v>423492241</v>
      </c>
      <c r="K104" s="14"/>
    </row>
    <row r="105" spans="2:11" x14ac:dyDescent="0.3">
      <c r="B105" s="20" t="s">
        <v>110</v>
      </c>
      <c r="C105" s="3">
        <f>C102-C98</f>
        <v>103261696</v>
      </c>
      <c r="D105" s="3">
        <f t="shared" ref="D105:I105" si="68">D102-D98</f>
        <v>109424992</v>
      </c>
      <c r="E105" s="3">
        <f t="shared" si="68"/>
        <v>76943790</v>
      </c>
      <c r="F105" s="3">
        <f t="shared" si="68"/>
        <v>97403316</v>
      </c>
      <c r="G105" s="3">
        <f t="shared" si="68"/>
        <v>102027599</v>
      </c>
      <c r="H105" s="3">
        <f t="shared" si="68"/>
        <v>109776764</v>
      </c>
      <c r="I105" s="3">
        <f t="shared" si="68"/>
        <v>131064443</v>
      </c>
    </row>
    <row r="106" spans="2:11" x14ac:dyDescent="0.3">
      <c r="B106" s="21" t="s">
        <v>109</v>
      </c>
      <c r="C106" s="24">
        <f>C104/C105</f>
        <v>3.5156978731009803</v>
      </c>
      <c r="D106" s="24">
        <f t="shared" ref="D106:I106" si="69">D104/D105</f>
        <v>3.3541821140823114</v>
      </c>
      <c r="E106" s="24">
        <f t="shared" si="69"/>
        <v>5.160573127473965</v>
      </c>
      <c r="F106" s="24">
        <f t="shared" si="69"/>
        <v>3.9372162955930574</v>
      </c>
      <c r="G106" s="24">
        <f t="shared" si="69"/>
        <v>3.8144590759212122</v>
      </c>
      <c r="H106" s="24">
        <f t="shared" si="69"/>
        <v>3.5487034305365386</v>
      </c>
      <c r="I106" s="24">
        <f t="shared" si="69"/>
        <v>3.2311756820268944</v>
      </c>
      <c r="J106" s="19">
        <f>AVERAGE(C106:F106)</f>
        <v>3.9919173525625782</v>
      </c>
      <c r="K106" s="19">
        <f>AVERAGE(G106:I106)</f>
        <v>3.5314460628282149</v>
      </c>
    </row>
    <row r="107" spans="2:11" x14ac:dyDescent="0.3">
      <c r="B107" s="20" t="s">
        <v>111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6000000</v>
      </c>
      <c r="I107" s="3">
        <v>0</v>
      </c>
    </row>
    <row r="108" spans="2:11" x14ac:dyDescent="0.3">
      <c r="B108" s="20" t="s">
        <v>112</v>
      </c>
      <c r="C108" s="3">
        <f>C71</f>
        <v>5889968</v>
      </c>
      <c r="D108" s="3">
        <f t="shared" ref="D108:I108" si="70">D71</f>
        <v>6170979</v>
      </c>
      <c r="E108" s="3">
        <f t="shared" si="70"/>
        <v>-32502149</v>
      </c>
      <c r="F108" s="3">
        <f t="shared" si="70"/>
        <v>20172372</v>
      </c>
      <c r="G108" s="3">
        <f t="shared" si="70"/>
        <v>4449407</v>
      </c>
      <c r="H108" s="3">
        <f t="shared" si="70"/>
        <v>14051237</v>
      </c>
      <c r="I108" s="3">
        <f t="shared" si="70"/>
        <v>21378138</v>
      </c>
    </row>
    <row r="109" spans="2:11" x14ac:dyDescent="0.3">
      <c r="B109" s="21" t="s">
        <v>144</v>
      </c>
      <c r="C109" s="24">
        <f>C107/C108</f>
        <v>0</v>
      </c>
      <c r="D109" s="24">
        <f t="shared" ref="D109:I109" si="71">D107/D108</f>
        <v>0</v>
      </c>
      <c r="E109" s="24">
        <f t="shared" si="71"/>
        <v>0</v>
      </c>
      <c r="F109" s="24">
        <f t="shared" si="71"/>
        <v>0</v>
      </c>
      <c r="G109" s="24">
        <f t="shared" si="71"/>
        <v>0</v>
      </c>
      <c r="H109" s="24">
        <f t="shared" si="71"/>
        <v>0.42700866834713558</v>
      </c>
      <c r="I109" s="24">
        <f t="shared" si="71"/>
        <v>0</v>
      </c>
      <c r="J109" s="19">
        <f>AVERAGE(C109:F109)</f>
        <v>0</v>
      </c>
      <c r="K109" s="19">
        <f>AVERAGE(G109:I109)</f>
        <v>0.14233622278237854</v>
      </c>
    </row>
    <row r="110" spans="2:11" ht="15.6" x14ac:dyDescent="0.3">
      <c r="B110" s="21" t="s">
        <v>145</v>
      </c>
      <c r="C110" s="24">
        <f>LN(C48)</f>
        <v>19.960336804450566</v>
      </c>
      <c r="D110" s="24">
        <f t="shared" ref="D110:I110" si="72">LN(D48)</f>
        <v>19.981886656714245</v>
      </c>
      <c r="E110" s="24">
        <f t="shared" si="72"/>
        <v>19.976755526630019</v>
      </c>
      <c r="F110" s="24">
        <f t="shared" si="72"/>
        <v>19.991172482663785</v>
      </c>
      <c r="G110" s="24">
        <f t="shared" si="72"/>
        <v>20.012377610570105</v>
      </c>
      <c r="H110" s="24">
        <f t="shared" si="72"/>
        <v>20.028801675547779</v>
      </c>
      <c r="I110" s="24">
        <f t="shared" si="72"/>
        <v>20.133679584958347</v>
      </c>
      <c r="J110" s="19">
        <f>AVERAGE(C110:F110)</f>
        <v>19.977537867614654</v>
      </c>
      <c r="K110" s="19">
        <f>AVERAGE(G110:I110)</f>
        <v>20.05828629035874</v>
      </c>
    </row>
    <row r="111" spans="2:11" ht="15.6" x14ac:dyDescent="0.3">
      <c r="B111" s="21" t="s">
        <v>146</v>
      </c>
      <c r="C111" s="24"/>
      <c r="D111" s="24"/>
      <c r="E111" s="24"/>
      <c r="F111" s="24"/>
      <c r="G111" s="24"/>
      <c r="H111" s="24"/>
      <c r="I111" s="24"/>
      <c r="J111" s="19">
        <f>STDEV(C67:F67)</f>
        <v>4.7567724336701978E-2</v>
      </c>
      <c r="K111" s="19">
        <f>STDEV(G67:I67)</f>
        <v>1.4956869962735209E-2</v>
      </c>
    </row>
    <row r="112" spans="2:11" ht="15.6" x14ac:dyDescent="0.3">
      <c r="B112" s="21" t="s">
        <v>147</v>
      </c>
      <c r="C112" s="24">
        <f>C67</f>
        <v>1.2631321935648615E-2</v>
      </c>
      <c r="D112" s="24">
        <f t="shared" ref="D112:I112" si="73">D67</f>
        <v>1.2951824633385142E-2</v>
      </c>
      <c r="E112" s="24">
        <f t="shared" si="73"/>
        <v>-6.8567353197430778E-2</v>
      </c>
      <c r="F112" s="24">
        <f t="shared" si="73"/>
        <v>4.1947016069135146E-2</v>
      </c>
      <c r="G112" s="24">
        <f t="shared" si="73"/>
        <v>9.0580970127300525E-3</v>
      </c>
      <c r="H112" s="24">
        <f t="shared" si="73"/>
        <v>2.8139508801486759E-2</v>
      </c>
      <c r="I112" s="24">
        <f t="shared" si="73"/>
        <v>3.8549960025366856E-2</v>
      </c>
      <c r="J112" s="19">
        <f t="shared" ref="J112:J115" si="74">AVERAGE(C112:F112)</f>
        <v>-2.5929763981546831E-4</v>
      </c>
      <c r="K112" s="19">
        <f t="shared" ref="K112:K115" si="75">AVERAGE(G112:I112)</f>
        <v>2.5249188613194556E-2</v>
      </c>
    </row>
    <row r="113" spans="2:11" ht="15.6" x14ac:dyDescent="0.3">
      <c r="B113" s="21" t="s">
        <v>148</v>
      </c>
      <c r="C113" s="24">
        <f>C91</f>
        <v>2.228108698358096</v>
      </c>
      <c r="D113" s="24">
        <f t="shared" ref="D113:I113" si="76">D91</f>
        <v>3.1786661555760487</v>
      </c>
      <c r="E113" s="24">
        <f t="shared" si="76"/>
        <v>-2.5926160467635482</v>
      </c>
      <c r="F113" s="24">
        <f t="shared" si="76"/>
        <v>2.1850202478491854</v>
      </c>
      <c r="G113" s="24">
        <f t="shared" si="76"/>
        <v>2.2270631373107266</v>
      </c>
      <c r="H113" s="24">
        <f t="shared" si="76"/>
        <v>2.2463352455089587</v>
      </c>
      <c r="I113" s="24">
        <f t="shared" si="76"/>
        <v>2.029438224088997</v>
      </c>
      <c r="J113" s="19">
        <f t="shared" si="74"/>
        <v>1.2497947637549456</v>
      </c>
      <c r="K113" s="19">
        <f t="shared" si="75"/>
        <v>2.1676122023028941</v>
      </c>
    </row>
    <row r="114" spans="2:11" ht="15.6" x14ac:dyDescent="0.3">
      <c r="B114" s="21" t="s">
        <v>149</v>
      </c>
      <c r="C114" s="24">
        <f>C100</f>
        <v>0.77855028655553327</v>
      </c>
      <c r="D114" s="24">
        <f t="shared" ref="D114:I114" si="77">D100</f>
        <v>0.77033574301685814</v>
      </c>
      <c r="E114" s="24">
        <f t="shared" si="77"/>
        <v>0.83767744018160328</v>
      </c>
      <c r="F114" s="24">
        <f t="shared" si="77"/>
        <v>0.79745671647146665</v>
      </c>
      <c r="G114" s="24">
        <f t="shared" si="77"/>
        <v>0.7922923459872474</v>
      </c>
      <c r="H114" s="24">
        <f t="shared" si="77"/>
        <v>0.78015713372589657</v>
      </c>
      <c r="I114" s="24">
        <f t="shared" si="77"/>
        <v>0.7636590689798628</v>
      </c>
      <c r="J114" s="19">
        <f t="shared" si="74"/>
        <v>0.79600504655636528</v>
      </c>
      <c r="K114" s="19">
        <f t="shared" si="75"/>
        <v>0.77870284956433566</v>
      </c>
    </row>
    <row r="115" spans="2:11" ht="15.6" x14ac:dyDescent="0.3">
      <c r="B115" s="21" t="s">
        <v>150</v>
      </c>
      <c r="C115" s="24">
        <f>(C85+C86)/C98</f>
        <v>0.10340355598814087</v>
      </c>
      <c r="D115" s="24">
        <f t="shared" ref="D115:I115" si="78">(D85+D86)/D98</f>
        <v>0.10114859370691742</v>
      </c>
      <c r="E115" s="24">
        <f t="shared" si="78"/>
        <v>-3.2569927037917397E-2</v>
      </c>
      <c r="F115" s="24">
        <f t="shared" si="78"/>
        <v>0.10806123453242275</v>
      </c>
      <c r="G115" s="24">
        <f t="shared" si="78"/>
        <v>0.12824177256688671</v>
      </c>
      <c r="H115" s="24">
        <f t="shared" si="78"/>
        <v>0.13930903203235215</v>
      </c>
      <c r="I115" s="24">
        <f t="shared" si="78"/>
        <v>0.1218436301882565</v>
      </c>
      <c r="J115" s="19">
        <f t="shared" si="74"/>
        <v>7.0010864297390923E-2</v>
      </c>
      <c r="K115" s="19">
        <f t="shared" si="75"/>
        <v>0.12979814492916511</v>
      </c>
    </row>
    <row r="116" spans="2:11" x14ac:dyDescent="0.3">
      <c r="B116" s="21" t="s">
        <v>151</v>
      </c>
      <c r="C116" s="24"/>
      <c r="D116" s="24"/>
      <c r="E116" s="24"/>
      <c r="F116" s="24"/>
      <c r="G116" s="24"/>
      <c r="H116" s="24"/>
      <c r="I116" s="24"/>
      <c r="J116" s="19">
        <f>2.697+0.519*J110-6.842*J111+4.909*J112+0.044*J113-0.765*J114-0.004*J115</f>
        <v>12.184377956798842</v>
      </c>
      <c r="K116" s="19">
        <f>2.697+0.519*K110-6.842*K111+4.909*K112+0.044*K113-0.765*K114-0.004*K115</f>
        <v>12.628012011718218</v>
      </c>
    </row>
    <row r="117" spans="2:11" ht="15.6" x14ac:dyDescent="0.3">
      <c r="B117" s="21" t="s">
        <v>145</v>
      </c>
      <c r="C117" s="24">
        <f>(C2-C3)/C48</f>
        <v>1.2679842345062394E-2</v>
      </c>
      <c r="D117" s="24">
        <f t="shared" ref="D117:I117" si="79">(D2-D3)/D48</f>
        <v>8.5570400308428683E-3</v>
      </c>
      <c r="E117" s="24">
        <f t="shared" si="79"/>
        <v>7.6713356645887452E-4</v>
      </c>
      <c r="F117" s="24">
        <f t="shared" si="79"/>
        <v>-1.0815239342729164E-2</v>
      </c>
      <c r="G117" s="24">
        <f t="shared" si="79"/>
        <v>-4.1365459051232296E-2</v>
      </c>
      <c r="H117" s="24">
        <f t="shared" si="79"/>
        <v>-2.2832548236389586E-2</v>
      </c>
      <c r="I117" s="24">
        <f t="shared" si="79"/>
        <v>-4.5943844398781061E-2</v>
      </c>
      <c r="J117" s="19">
        <f>AVERAGE(C117:F117)</f>
        <v>2.7971941499087441E-3</v>
      </c>
      <c r="K117" s="19">
        <f t="shared" ref="K117" si="80">AVERAGE(G117:I117)</f>
        <v>-3.6713950562134313E-2</v>
      </c>
    </row>
    <row r="118" spans="2:11" ht="15.6" x14ac:dyDescent="0.3">
      <c r="B118" s="21" t="s">
        <v>146</v>
      </c>
      <c r="C118" s="24">
        <f>14275173/C102</f>
        <v>3.0613800592817965E-2</v>
      </c>
      <c r="D118" s="24">
        <f>19943469/D102</f>
        <v>4.1857914776464632E-2</v>
      </c>
      <c r="E118" s="24">
        <f>-12537732/E102</f>
        <v>-2.6449915614463838E-2</v>
      </c>
      <c r="F118" s="24">
        <f>7426794/F102</f>
        <v>1.5443491090693571E-2</v>
      </c>
      <c r="G118" s="24">
        <f>11556077/G102</f>
        <v>2.3525846602160349E-2</v>
      </c>
      <c r="H118" s="24">
        <f>19305242/H102</f>
        <v>3.8661366766059947E-2</v>
      </c>
      <c r="I118" s="24">
        <f>40592920/I102</f>
        <v>7.3198865275961589E-2</v>
      </c>
      <c r="J118" s="19">
        <f t="shared" ref="J118:J120" si="81">AVERAGE(C118:F118)</f>
        <v>1.5366322711378083E-2</v>
      </c>
      <c r="K118" s="19">
        <f t="shared" ref="K118:K120" si="82">AVERAGE(G118:I118)</f>
        <v>4.5128692881393963E-2</v>
      </c>
    </row>
    <row r="119" spans="2:11" ht="15.6" x14ac:dyDescent="0.3">
      <c r="B119" s="21" t="s">
        <v>147</v>
      </c>
      <c r="C119" s="24">
        <f>C70</f>
        <v>5.9118019566264168E-2</v>
      </c>
      <c r="D119" s="24">
        <f t="shared" ref="D119:I119" si="83">D70</f>
        <v>5.4893929704699092E-2</v>
      </c>
      <c r="E119" s="24">
        <f t="shared" si="83"/>
        <v>-5.118247816176625E-2</v>
      </c>
      <c r="F119" s="24">
        <f t="shared" si="83"/>
        <v>6.1513341203930649E-2</v>
      </c>
      <c r="G119" s="24">
        <f t="shared" si="83"/>
        <v>7.5642224256663726E-2</v>
      </c>
      <c r="H119" s="24">
        <f t="shared" si="83"/>
        <v>8.8399862296366316E-2</v>
      </c>
      <c r="I119" s="24">
        <f t="shared" si="83"/>
        <v>7.2441328648740977E-2</v>
      </c>
      <c r="J119" s="19">
        <f t="shared" si="81"/>
        <v>3.1085703078281915E-2</v>
      </c>
      <c r="K119" s="19">
        <f t="shared" si="82"/>
        <v>7.8827805067257006E-2</v>
      </c>
    </row>
    <row r="120" spans="2:11" ht="15.6" x14ac:dyDescent="0.3">
      <c r="B120" s="21" t="s">
        <v>148</v>
      </c>
      <c r="C120" s="24">
        <f>C105/275293118</f>
        <v>0.37509726632541535</v>
      </c>
      <c r="D120" s="24">
        <f>D105/277346998</f>
        <v>0.39454182950990513</v>
      </c>
      <c r="E120" s="24">
        <f>E105/317419513</f>
        <v>0.24240409568015436</v>
      </c>
      <c r="F120" s="24">
        <f>F105/F104</f>
        <v>0.25398655418532734</v>
      </c>
      <c r="G120" s="24">
        <f t="shared" ref="G120:I120" si="84">G105/G104</f>
        <v>0.26216036929390696</v>
      </c>
      <c r="H120" s="24">
        <f t="shared" si="84"/>
        <v>0.28179306035974022</v>
      </c>
      <c r="I120" s="24">
        <f t="shared" si="84"/>
        <v>0.30948487436396738</v>
      </c>
      <c r="J120" s="19">
        <f t="shared" si="81"/>
        <v>0.31650743642520052</v>
      </c>
      <c r="K120" s="19">
        <f t="shared" si="82"/>
        <v>0.28447943467253817</v>
      </c>
    </row>
    <row r="121" spans="2:11" x14ac:dyDescent="0.3">
      <c r="B121" s="21" t="s">
        <v>152</v>
      </c>
      <c r="C121" s="24"/>
      <c r="D121" s="24"/>
      <c r="E121" s="24"/>
      <c r="F121" s="24"/>
      <c r="G121" s="24"/>
      <c r="H121" s="24"/>
      <c r="I121" s="24"/>
      <c r="J121" s="19">
        <f>6.56*J117+J118*3.26+6.72*J119+J120*1.05</f>
        <v>0.60967253859500892</v>
      </c>
      <c r="K121" s="19">
        <f>6.56*K117+K118*3.26+6.72*K119+K120*1.05</f>
        <v>0.73470227956387535</v>
      </c>
    </row>
    <row r="122" spans="2:11" x14ac:dyDescent="0.3">
      <c r="B122" s="21"/>
      <c r="C122" s="24"/>
      <c r="D122" s="24"/>
      <c r="E122" s="24"/>
      <c r="F122" s="24"/>
      <c r="G122" s="24"/>
      <c r="H122" s="24"/>
      <c r="I122" s="24"/>
      <c r="J122" s="19"/>
      <c r="K122" s="19"/>
    </row>
  </sheetData>
  <phoneticPr fontId="7" type="noConversion"/>
  <pageMargins left="0.7" right="0.7" top="0.75" bottom="0.75" header="0.3" footer="0.3"/>
  <pageSetup paperSize="9" orientation="portrait" r:id="rId1"/>
  <ignoredErrors>
    <ignoredError sqref="C4:I4 C26:I26 C6:I7 H5:I5 C10:I10 H8:I9 C12:I12 H11:I11 H20:I24 J98:J109 C43 C45:C52 J87:J88 J85 J4:J12 J71:J72 J74:J79 J20:J67 J92:J94" evalError="1"/>
    <ignoredError sqref="J111:K111 J116:K1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ΚΕΦΑΛΑΙΟ 1</vt:lpstr>
      <vt:lpstr>ΚΕΦΑΛΑΙΟ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2026-01-31T22:16:57Z</dcterms:created>
  <dcterms:modified xsi:type="dcterms:W3CDTF">2026-02-16T00:44:42Z</dcterms:modified>
</cp:coreProperties>
</file>