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8.xml" ContentType="application/vnd.openxmlformats-officedocument.drawing+xml"/>
  <Override PartName="/xl/charts/chart13.xml" ContentType="application/vnd.openxmlformats-officedocument.drawingml.chart+xml"/>
  <Override PartName="/xl/drawings/drawing9.xml" ContentType="application/vnd.openxmlformats-officedocument.drawing+xml"/>
  <Override PartName="/xl/charts/chart14.xml" ContentType="application/vnd.openxmlformats-officedocument.drawingml.chart+xml"/>
  <Override PartName="/xl/drawings/drawing10.xml" ContentType="application/vnd.openxmlformats-officedocument.drawing+xml"/>
  <Override PartName="/xl/charts/chart15.xml" ContentType="application/vnd.openxmlformats-officedocument.drawingml.chart+xml"/>
  <Override PartName="/xl/drawings/drawing11.xml" ContentType="application/vnd.openxmlformats-officedocument.drawing+xml"/>
  <Override PartName="/xl/charts/chart16.xml" ContentType="application/vnd.openxmlformats-officedocument.drawingml.chart+xml"/>
  <Override PartName="/xl/drawings/drawing12.xml" ContentType="application/vnd.openxmlformats-officedocument.drawing+xml"/>
  <Override PartName="/xl/charts/chart17.xml" ContentType="application/vnd.openxmlformats-officedocument.drawingml.chart+xml"/>
  <Override PartName="/xl/drawings/drawing13.xml" ContentType="application/vnd.openxmlformats-officedocument.drawing+xml"/>
  <Override PartName="/xl/charts/chart18.xml" ContentType="application/vnd.openxmlformats-officedocument.drawingml.chart+xml"/>
  <Override PartName="/xl/drawings/drawing14.xml" ContentType="application/vnd.openxmlformats-officedocument.drawing+xml"/>
  <Override PartName="/xl/charts/chart19.xml" ContentType="application/vnd.openxmlformats-officedocument.drawingml.chart+xml"/>
  <Override PartName="/xl/drawings/drawing15.xml" ContentType="application/vnd.openxmlformats-officedocument.drawing+xml"/>
  <Override PartName="/xl/charts/chart20.xml" ContentType="application/vnd.openxmlformats-officedocument.drawingml.chart+xml"/>
  <Override PartName="/xl/drawings/drawing16.xml" ContentType="application/vnd.openxmlformats-officedocument.drawing+xml"/>
  <Override PartName="/xl/charts/chart21.xml" ContentType="application/vnd.openxmlformats-officedocument.drawingml.chart+xml"/>
  <Override PartName="/xl/drawings/drawing17.xml" ContentType="application/vnd.openxmlformats-officedocument.drawing+xml"/>
  <Override PartName="/xl/charts/chart22.xml" ContentType="application/vnd.openxmlformats-officedocument.drawingml.chart+xml"/>
  <Override PartName="/xl/drawings/drawing18.xml" ContentType="application/vnd.openxmlformats-officedocument.drawing+xml"/>
  <Override PartName="/xl/charts/chart23.xml" ContentType="application/vnd.openxmlformats-officedocument.drawingml.chart+xml"/>
  <Override PartName="/xl/drawings/drawing19.xml" ContentType="application/vnd.openxmlformats-officedocument.drawing+xml"/>
  <Override PartName="/xl/tables/table1.xml" ContentType="application/vnd.openxmlformats-officedocument.spreadsheetml.table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0.xml" ContentType="application/vnd.openxmlformats-officedocument.drawing+xml"/>
  <Override PartName="/xl/charts/chart26.xml" ContentType="application/vnd.openxmlformats-officedocument.drawingml.chart+xml"/>
  <Override PartName="/xl/drawings/drawing21.xml" ContentType="application/vnd.openxmlformats-officedocument.drawing+xml"/>
  <Override PartName="/xl/charts/chart27.xml" ContentType="application/vnd.openxmlformats-officedocument.drawingml.chart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xr:revisionPtr revIDLastSave="0" documentId="13_ncr:1_{BD8F8168-1ABE-4A32-9A0C-3E6C584CF940}" xr6:coauthVersionLast="47" xr6:coauthVersionMax="47" xr10:uidLastSave="{00000000-0000-0000-0000-000000000000}"/>
  <bookViews>
    <workbookView xWindow="-120" yWindow="-120" windowWidth="29040" windowHeight="15720" tabRatio="792" xr2:uid="{00000000-000D-0000-FFFF-FFFF00000000}"/>
  </bookViews>
  <sheets>
    <sheet name="ΑΡΧΙΚΗ" sheetId="34" r:id="rId1"/>
    <sheet name="θ_Σύγκριση_Ευαισθησίας" sheetId="9" r:id="rId2"/>
    <sheet name="δ_Ευαισθησία_Επιτοκίου" sheetId="4" r:id="rId3"/>
    <sheet name="ε_Ευαισθησία_Κόστους_ΦΒ" sheetId="5" r:id="rId4"/>
    <sheet name="ζ_Ευαισθησία_Τιμής_kWh" sheetId="6" r:id="rId5"/>
    <sheet name="ιε_Τιμή_Αγοράς_kWh" sheetId="7" r:id="rId6"/>
    <sheet name="η_Ευαισθησία_Ταυτοχρονισμού" sheetId="8" r:id="rId7"/>
    <sheet name="ι_Μοντέλο_Ελέγχου_α" sheetId="10" state="veryHidden" r:id="rId8"/>
    <sheet name="ια_Υπολογισμοί_Σεναρίων" sheetId="11" state="veryHidden" r:id="rId9"/>
    <sheet name="ιγ_Αποτελέσματα_Σεναρίων" sheetId="13" r:id="rId10"/>
    <sheet name="σ_Σύνοψη_Μπαταρία_10" sheetId="33" r:id="rId11"/>
    <sheet name="ν_Απόδ_Μπαταρία_10" sheetId="19" r:id="rId12"/>
    <sheet name="ρ_Σύνοψη_Μπαταρία_7_5" sheetId="32" r:id="rId13"/>
    <sheet name="μ_Απόδ_Μπαταρία_7_5" sheetId="18" r:id="rId14"/>
    <sheet name="π_Σύνοψη_Μπαταρία_5" sheetId="31" r:id="rId15"/>
    <sheet name="λ_Απόδ_Μπαταρία_5" sheetId="17" r:id="rId16"/>
    <sheet name="ο_Σύνοψη_Μπαταρία_2_5" sheetId="30" r:id="rId17"/>
    <sheet name="κ_Απόδ_Μπαταρία_2_5" sheetId="16" r:id="rId18"/>
    <sheet name="ξ_Σύνοψη_Μηδενικό" sheetId="29" r:id="rId19"/>
    <sheet name="κ_Μηδενικό_Σενάριο" sheetId="15" r:id="rId20"/>
    <sheet name="ιδ_Σενάρια_Καταν_Επιδ" sheetId="14" r:id="rId21"/>
    <sheet name="Απόδοση Εγκατάστασης" sheetId="20" r:id="rId22"/>
    <sheet name="IRR_DPP" sheetId="21" r:id="rId23"/>
    <sheet name="Εξέλιξη Επένδυσης" sheetId="22" r:id="rId24"/>
    <sheet name="Σύνολική Τιμή ΦΒ" sheetId="23" state="veryHidden" r:id="rId25"/>
    <sheet name="Εργασίες" sheetId="24" state="veryHidden" r:id="rId26"/>
    <sheet name="Υλικά" sheetId="25" state="veryHidden" r:id="rId27"/>
  </sheets>
  <functionGroups builtInGroupCount="19"/>
  <definedNames>
    <definedName name="_xlnm._FilterDatabase" localSheetId="2" hidden="1">δ_Ευαισθησία_Επιτοκίου!$A$14:$G$25</definedName>
    <definedName name="_xlnm._FilterDatabase" localSheetId="25" hidden="1">Εργασίες!$A$3:$F$28</definedName>
    <definedName name="_xlnm._FilterDatabase" localSheetId="26" hidden="1">Υλικά!$A$2:$I$43</definedName>
    <definedName name="Investement_progress" localSheetId="22">IRR_DPP!$B$2:$E$23</definedName>
    <definedName name="Investement_progress" localSheetId="23">'Εξέλιξη Επένδυσης'!#REF!</definedName>
    <definedName name="_xlnm.Print_Area" localSheetId="22">IRR_DPP!$A$1:$Q$71</definedName>
    <definedName name="_xlnm.Print_Area" localSheetId="23">'Εξέλιξη Επένδυσης'!$A$1:$K$64</definedName>
    <definedName name="_xlnm.Print_Area" localSheetId="24">'Σύνολική Τιμή ΦΒ'!$A$3:$J$62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9" l="1"/>
  <c r="F4" i="30"/>
  <c r="F4" i="31"/>
  <c r="F4" i="32"/>
  <c r="F4" i="33"/>
  <c r="F83" i="14"/>
  <c r="F84" i="14"/>
  <c r="F85" i="14"/>
  <c r="F86" i="14"/>
  <c r="F82" i="14"/>
  <c r="F78" i="14"/>
  <c r="F79" i="14"/>
  <c r="F80" i="14"/>
  <c r="F81" i="14"/>
  <c r="F77" i="14"/>
  <c r="F73" i="14"/>
  <c r="F74" i="14"/>
  <c r="F75" i="14"/>
  <c r="F76" i="14"/>
  <c r="F72" i="14"/>
  <c r="F68" i="14"/>
  <c r="F69" i="14"/>
  <c r="F70" i="14"/>
  <c r="F71" i="14"/>
  <c r="F67" i="14"/>
  <c r="F63" i="14"/>
  <c r="F64" i="14"/>
  <c r="F65" i="14"/>
  <c r="F66" i="14"/>
  <c r="F62" i="14"/>
  <c r="F58" i="14"/>
  <c r="F59" i="14"/>
  <c r="F60" i="14"/>
  <c r="F61" i="14"/>
  <c r="F57" i="14"/>
  <c r="F53" i="14"/>
  <c r="F54" i="14"/>
  <c r="F55" i="14"/>
  <c r="F56" i="14"/>
  <c r="F52" i="14"/>
  <c r="F48" i="14"/>
  <c r="F49" i="14"/>
  <c r="F50" i="14"/>
  <c r="F51" i="14"/>
  <c r="F47" i="14"/>
  <c r="F43" i="14"/>
  <c r="F44" i="14"/>
  <c r="F45" i="14"/>
  <c r="F46" i="14"/>
  <c r="F42" i="14"/>
  <c r="F41" i="14"/>
  <c r="F38" i="14"/>
  <c r="F39" i="14"/>
  <c r="F40" i="14"/>
  <c r="F37" i="14"/>
  <c r="F33" i="14"/>
  <c r="F34" i="14"/>
  <c r="F35" i="14"/>
  <c r="F36" i="14"/>
  <c r="F32" i="14"/>
  <c r="F28" i="14"/>
  <c r="F29" i="14"/>
  <c r="F30" i="14"/>
  <c r="F31" i="14"/>
  <c r="F27" i="14"/>
  <c r="F23" i="14"/>
  <c r="F24" i="14"/>
  <c r="F25" i="14"/>
  <c r="F26" i="14"/>
  <c r="F22" i="14"/>
  <c r="F18" i="14"/>
  <c r="F19" i="14"/>
  <c r="F20" i="14"/>
  <c r="F21" i="14"/>
  <c r="F17" i="14"/>
  <c r="F13" i="14"/>
  <c r="F14" i="14"/>
  <c r="F15" i="14"/>
  <c r="F16" i="14"/>
  <c r="F12" i="14"/>
  <c r="E20" i="10"/>
  <c r="D40" i="10" s="1"/>
  <c r="D86" i="14"/>
  <c r="D79" i="14"/>
  <c r="D75" i="14"/>
  <c r="B84" i="14"/>
  <c r="B71" i="14"/>
  <c r="B51" i="14"/>
  <c r="B39" i="14"/>
  <c r="B25" i="14"/>
  <c r="I43" i="25"/>
  <c r="I41" i="25"/>
  <c r="I40" i="25"/>
  <c r="I39" i="25"/>
  <c r="I38" i="25"/>
  <c r="I37" i="25"/>
  <c r="I36" i="25"/>
  <c r="I35" i="25"/>
  <c r="I34" i="25"/>
  <c r="I33" i="25"/>
  <c r="I32" i="25"/>
  <c r="I31" i="25"/>
  <c r="I30" i="25"/>
  <c r="I29" i="25"/>
  <c r="I28" i="25"/>
  <c r="I27" i="25"/>
  <c r="I26" i="25"/>
  <c r="I25" i="25"/>
  <c r="I24" i="25"/>
  <c r="I23" i="25"/>
  <c r="I22" i="25"/>
  <c r="I21" i="25"/>
  <c r="I20" i="25"/>
  <c r="I19" i="25"/>
  <c r="I18" i="25"/>
  <c r="I17" i="25"/>
  <c r="I16" i="25"/>
  <c r="I15" i="25"/>
  <c r="I14" i="25"/>
  <c r="I13" i="25"/>
  <c r="I12" i="25"/>
  <c r="I11" i="25"/>
  <c r="I10" i="25"/>
  <c r="I9" i="25"/>
  <c r="I8" i="25"/>
  <c r="I7" i="25"/>
  <c r="I6" i="25"/>
  <c r="I5" i="25"/>
  <c r="I4" i="25"/>
  <c r="I3" i="25"/>
  <c r="F30" i="24"/>
  <c r="F31" i="24" s="1"/>
  <c r="F32" i="24" s="1"/>
  <c r="E30" i="24"/>
  <c r="E31" i="24" s="1"/>
  <c r="E32" i="24" s="1"/>
  <c r="D30" i="24"/>
  <c r="D31" i="24" s="1"/>
  <c r="D32" i="24" s="1"/>
  <c r="R44" i="23"/>
  <c r="J44" i="23"/>
  <c r="R43" i="23"/>
  <c r="J43" i="23"/>
  <c r="J41" i="23"/>
  <c r="R40" i="23"/>
  <c r="J40" i="23"/>
  <c r="J39" i="23"/>
  <c r="J38" i="23"/>
  <c r="J37" i="23"/>
  <c r="J36" i="23"/>
  <c r="J35" i="23"/>
  <c r="J34" i="23"/>
  <c r="J33" i="23"/>
  <c r="D33" i="23"/>
  <c r="J32" i="23"/>
  <c r="J31" i="23"/>
  <c r="J30" i="23"/>
  <c r="J29" i="23"/>
  <c r="J28" i="23"/>
  <c r="J27" i="23"/>
  <c r="J26" i="23"/>
  <c r="J25" i="23"/>
  <c r="J24" i="23"/>
  <c r="J23" i="23"/>
  <c r="J22" i="23"/>
  <c r="G21" i="23"/>
  <c r="J21" i="23" s="1"/>
  <c r="G20" i="23"/>
  <c r="J20" i="23" s="1"/>
  <c r="J19" i="23"/>
  <c r="J18" i="23"/>
  <c r="J17" i="23"/>
  <c r="J16" i="23"/>
  <c r="J15" i="23"/>
  <c r="J14" i="23"/>
  <c r="J13" i="23"/>
  <c r="J12" i="23"/>
  <c r="J11" i="23"/>
  <c r="J10" i="23"/>
  <c r="G9" i="23"/>
  <c r="J8" i="23"/>
  <c r="J7" i="23"/>
  <c r="J6" i="23"/>
  <c r="J5" i="23"/>
  <c r="J4" i="23"/>
  <c r="D21" i="20"/>
  <c r="B21" i="20"/>
  <c r="F19" i="20"/>
  <c r="G19" i="20" s="1"/>
  <c r="F18" i="20"/>
  <c r="G18" i="20" s="1"/>
  <c r="F17" i="20"/>
  <c r="F16" i="20"/>
  <c r="G16" i="20" s="1"/>
  <c r="F15" i="20"/>
  <c r="G15" i="20" s="1"/>
  <c r="F14" i="20"/>
  <c r="G14" i="20" s="1"/>
  <c r="F13" i="20"/>
  <c r="G13" i="20" s="1"/>
  <c r="F12" i="20"/>
  <c r="G12" i="20" s="1"/>
  <c r="F11" i="20"/>
  <c r="G11" i="20" s="1"/>
  <c r="F10" i="20"/>
  <c r="G10" i="20" s="1"/>
  <c r="F9" i="20"/>
  <c r="G9" i="20" s="1"/>
  <c r="F8" i="20"/>
  <c r="E19" i="19"/>
  <c r="B19" i="19"/>
  <c r="A19" i="19"/>
  <c r="A16" i="33" s="1"/>
  <c r="E18" i="19"/>
  <c r="B18" i="19"/>
  <c r="A18" i="19"/>
  <c r="A15" i="33" s="1"/>
  <c r="E17" i="19"/>
  <c r="B17" i="19"/>
  <c r="A17" i="19"/>
  <c r="A14" i="33" s="1"/>
  <c r="E16" i="19"/>
  <c r="B16" i="19"/>
  <c r="A16" i="19"/>
  <c r="A13" i="33" s="1"/>
  <c r="E15" i="19"/>
  <c r="B15" i="19"/>
  <c r="A15" i="19"/>
  <c r="A12" i="33" s="1"/>
  <c r="E14" i="19"/>
  <c r="B14" i="19"/>
  <c r="A14" i="19"/>
  <c r="A11" i="33" s="1"/>
  <c r="E13" i="19"/>
  <c r="B13" i="19"/>
  <c r="A13" i="19"/>
  <c r="A10" i="33" s="1"/>
  <c r="E12" i="19"/>
  <c r="B12" i="19"/>
  <c r="A12" i="19"/>
  <c r="A9" i="33" s="1"/>
  <c r="E11" i="19"/>
  <c r="B11" i="19"/>
  <c r="A11" i="19"/>
  <c r="A8" i="33" s="1"/>
  <c r="E10" i="19"/>
  <c r="B10" i="19"/>
  <c r="A10" i="19"/>
  <c r="A7" i="33" s="1"/>
  <c r="E9" i="19"/>
  <c r="B9" i="19"/>
  <c r="A9" i="19"/>
  <c r="A6" i="33" s="1"/>
  <c r="E8" i="19"/>
  <c r="B8" i="19"/>
  <c r="A8" i="19"/>
  <c r="A5" i="33" s="1"/>
  <c r="E19" i="18"/>
  <c r="B19" i="18"/>
  <c r="A19" i="18"/>
  <c r="A16" i="32" s="1"/>
  <c r="E18" i="18"/>
  <c r="B18" i="18"/>
  <c r="A18" i="18"/>
  <c r="A15" i="32" s="1"/>
  <c r="E17" i="18"/>
  <c r="B17" i="18"/>
  <c r="A17" i="18"/>
  <c r="A14" i="32" s="1"/>
  <c r="E16" i="18"/>
  <c r="B16" i="18"/>
  <c r="A16" i="18"/>
  <c r="A13" i="32" s="1"/>
  <c r="E15" i="18"/>
  <c r="B15" i="18"/>
  <c r="A15" i="18"/>
  <c r="A12" i="32" s="1"/>
  <c r="E14" i="18"/>
  <c r="B14" i="18"/>
  <c r="A14" i="18"/>
  <c r="A11" i="32" s="1"/>
  <c r="E13" i="18"/>
  <c r="B13" i="18"/>
  <c r="A13" i="18"/>
  <c r="A10" i="32" s="1"/>
  <c r="E12" i="18"/>
  <c r="B12" i="18"/>
  <c r="A12" i="18"/>
  <c r="A9" i="32" s="1"/>
  <c r="E11" i="18"/>
  <c r="B11" i="18"/>
  <c r="A11" i="18"/>
  <c r="A8" i="32" s="1"/>
  <c r="E10" i="18"/>
  <c r="B10" i="18"/>
  <c r="A10" i="18"/>
  <c r="A7" i="32" s="1"/>
  <c r="E9" i="18"/>
  <c r="B9" i="18"/>
  <c r="A9" i="18"/>
  <c r="A6" i="32" s="1"/>
  <c r="E8" i="18"/>
  <c r="B8" i="18"/>
  <c r="A8" i="18"/>
  <c r="A5" i="32" s="1"/>
  <c r="E19" i="17"/>
  <c r="B19" i="17"/>
  <c r="A19" i="17"/>
  <c r="A16" i="31" s="1"/>
  <c r="E18" i="17"/>
  <c r="B18" i="17"/>
  <c r="A18" i="17"/>
  <c r="A15" i="31" s="1"/>
  <c r="E17" i="17"/>
  <c r="B17" i="17"/>
  <c r="A17" i="17"/>
  <c r="A14" i="31" s="1"/>
  <c r="E16" i="17"/>
  <c r="B16" i="17"/>
  <c r="A16" i="17"/>
  <c r="A13" i="31" s="1"/>
  <c r="E15" i="17"/>
  <c r="B15" i="17"/>
  <c r="A15" i="17"/>
  <c r="A12" i="31" s="1"/>
  <c r="E14" i="17"/>
  <c r="B14" i="17"/>
  <c r="A14" i="17"/>
  <c r="A11" i="31" s="1"/>
  <c r="E13" i="17"/>
  <c r="B13" i="17"/>
  <c r="A13" i="17"/>
  <c r="A10" i="31" s="1"/>
  <c r="E12" i="17"/>
  <c r="B12" i="17"/>
  <c r="A12" i="17"/>
  <c r="A9" i="31" s="1"/>
  <c r="E11" i="17"/>
  <c r="B11" i="17"/>
  <c r="A11" i="17"/>
  <c r="A8" i="31" s="1"/>
  <c r="E10" i="17"/>
  <c r="B10" i="17"/>
  <c r="A10" i="17"/>
  <c r="A7" i="31" s="1"/>
  <c r="E9" i="17"/>
  <c r="B9" i="17"/>
  <c r="A9" i="17"/>
  <c r="A6" i="31" s="1"/>
  <c r="E8" i="17"/>
  <c r="B8" i="17"/>
  <c r="A8" i="17"/>
  <c r="A5" i="31" s="1"/>
  <c r="E19" i="16"/>
  <c r="B19" i="16"/>
  <c r="A19" i="16"/>
  <c r="A16" i="30" s="1"/>
  <c r="E18" i="16"/>
  <c r="B18" i="16"/>
  <c r="A18" i="16"/>
  <c r="A15" i="30" s="1"/>
  <c r="E17" i="16"/>
  <c r="B17" i="16"/>
  <c r="A17" i="16"/>
  <c r="A14" i="30" s="1"/>
  <c r="E16" i="16"/>
  <c r="B16" i="16"/>
  <c r="A16" i="16"/>
  <c r="A13" i="30" s="1"/>
  <c r="E15" i="16"/>
  <c r="B15" i="16"/>
  <c r="A15" i="16"/>
  <c r="A12" i="30" s="1"/>
  <c r="E14" i="16"/>
  <c r="B14" i="16"/>
  <c r="A14" i="16"/>
  <c r="A11" i="30" s="1"/>
  <c r="E13" i="16"/>
  <c r="B13" i="16"/>
  <c r="A13" i="16"/>
  <c r="A10" i="30" s="1"/>
  <c r="E12" i="16"/>
  <c r="B12" i="16"/>
  <c r="A12" i="16"/>
  <c r="A9" i="30" s="1"/>
  <c r="E11" i="16"/>
  <c r="B11" i="16"/>
  <c r="A11" i="16"/>
  <c r="A8" i="30" s="1"/>
  <c r="E10" i="16"/>
  <c r="B10" i="16"/>
  <c r="A10" i="16"/>
  <c r="A7" i="30" s="1"/>
  <c r="E9" i="16"/>
  <c r="B9" i="16"/>
  <c r="A9" i="16"/>
  <c r="A6" i="30" s="1"/>
  <c r="E8" i="16"/>
  <c r="B8" i="16"/>
  <c r="A8" i="16"/>
  <c r="A5" i="30" s="1"/>
  <c r="J19" i="15"/>
  <c r="D16" i="29" s="1"/>
  <c r="E19" i="15"/>
  <c r="B19" i="15"/>
  <c r="A19" i="15"/>
  <c r="A16" i="29" s="1"/>
  <c r="J18" i="15"/>
  <c r="D15" i="29" s="1"/>
  <c r="E18" i="15"/>
  <c r="B18" i="15"/>
  <c r="A18" i="15"/>
  <c r="A15" i="29" s="1"/>
  <c r="J17" i="15"/>
  <c r="D14" i="29" s="1"/>
  <c r="E17" i="15"/>
  <c r="B17" i="15"/>
  <c r="A17" i="15"/>
  <c r="A14" i="29" s="1"/>
  <c r="J16" i="15"/>
  <c r="D13" i="29" s="1"/>
  <c r="E16" i="15"/>
  <c r="B16" i="15"/>
  <c r="A16" i="15"/>
  <c r="A13" i="29" s="1"/>
  <c r="J15" i="15"/>
  <c r="D12" i="29" s="1"/>
  <c r="E15" i="15"/>
  <c r="B15" i="15"/>
  <c r="A15" i="15"/>
  <c r="A12" i="29" s="1"/>
  <c r="J14" i="15"/>
  <c r="D11" i="29" s="1"/>
  <c r="E14" i="15"/>
  <c r="B14" i="15"/>
  <c r="A14" i="15"/>
  <c r="A11" i="29" s="1"/>
  <c r="J13" i="15"/>
  <c r="D10" i="29" s="1"/>
  <c r="E13" i="15"/>
  <c r="B13" i="15"/>
  <c r="A13" i="15"/>
  <c r="A10" i="29" s="1"/>
  <c r="J12" i="15"/>
  <c r="D9" i="29" s="1"/>
  <c r="E12" i="15"/>
  <c r="B12" i="15"/>
  <c r="A12" i="15"/>
  <c r="A9" i="29" s="1"/>
  <c r="J11" i="15"/>
  <c r="D8" i="29" s="1"/>
  <c r="E11" i="15"/>
  <c r="B11" i="15"/>
  <c r="A11" i="15"/>
  <c r="A8" i="29" s="1"/>
  <c r="J10" i="15"/>
  <c r="D7" i="29" s="1"/>
  <c r="E10" i="15"/>
  <c r="B10" i="15"/>
  <c r="A10" i="15"/>
  <c r="A7" i="29" s="1"/>
  <c r="J9" i="15"/>
  <c r="D6" i="29" s="1"/>
  <c r="E9" i="15"/>
  <c r="B9" i="15"/>
  <c r="A9" i="15"/>
  <c r="A6" i="29" s="1"/>
  <c r="J8" i="15"/>
  <c r="D5" i="29" s="1"/>
  <c r="E8" i="15"/>
  <c r="B8" i="15"/>
  <c r="A8" i="15"/>
  <c r="A5" i="29" s="1"/>
  <c r="B46" i="14"/>
  <c r="B232" i="11"/>
  <c r="A232" i="11"/>
  <c r="B183" i="11"/>
  <c r="A183" i="11"/>
  <c r="B134" i="11"/>
  <c r="A134" i="11"/>
  <c r="B85" i="11"/>
  <c r="A85" i="11"/>
  <c r="B36" i="11"/>
  <c r="A36" i="11"/>
  <c r="C44" i="10"/>
  <c r="C232" i="11" s="1"/>
  <c r="C43" i="10"/>
  <c r="C183" i="11" s="1"/>
  <c r="C42" i="10"/>
  <c r="C6" i="13" s="1"/>
  <c r="O3" i="18" s="1"/>
  <c r="J6" i="32" s="1"/>
  <c r="C41" i="10"/>
  <c r="C85" i="11" s="1"/>
  <c r="C40" i="10"/>
  <c r="C36" i="11" s="1"/>
  <c r="D33" i="10"/>
  <c r="C33" i="10"/>
  <c r="B33" i="10"/>
  <c r="A33" i="10"/>
  <c r="D32" i="10"/>
  <c r="C32" i="10"/>
  <c r="B32" i="10"/>
  <c r="A32" i="10"/>
  <c r="D31" i="10"/>
  <c r="C31" i="10"/>
  <c r="B31" i="10"/>
  <c r="A31" i="10"/>
  <c r="D30" i="10"/>
  <c r="C30" i="10"/>
  <c r="B30" i="10"/>
  <c r="A30" i="10"/>
  <c r="D29" i="10"/>
  <c r="C29" i="10"/>
  <c r="B29" i="10"/>
  <c r="A29" i="10"/>
  <c r="D28" i="10"/>
  <c r="C28" i="10"/>
  <c r="B28" i="10"/>
  <c r="A28" i="10"/>
  <c r="D27" i="10"/>
  <c r="C27" i="10"/>
  <c r="B27" i="10"/>
  <c r="A27" i="10"/>
  <c r="D26" i="10"/>
  <c r="C26" i="10"/>
  <c r="B26" i="10"/>
  <c r="A26" i="10"/>
  <c r="D25" i="10"/>
  <c r="C25" i="10"/>
  <c r="B25" i="10"/>
  <c r="A25" i="10"/>
  <c r="D24" i="10"/>
  <c r="C24" i="10"/>
  <c r="B24" i="10"/>
  <c r="A24" i="10"/>
  <c r="D23" i="10"/>
  <c r="C23" i="10"/>
  <c r="B23" i="10"/>
  <c r="A23" i="10"/>
  <c r="D22" i="10"/>
  <c r="C22" i="10"/>
  <c r="B22" i="10"/>
  <c r="A22" i="10"/>
  <c r="B11" i="10"/>
  <c r="B10" i="10"/>
  <c r="B9" i="10"/>
  <c r="B8" i="10"/>
  <c r="B12" i="8"/>
  <c r="B7" i="8"/>
  <c r="B6" i="8"/>
  <c r="B11" i="7"/>
  <c r="B25" i="7" s="1"/>
  <c r="B7" i="7"/>
  <c r="B6" i="7"/>
  <c r="B11" i="6"/>
  <c r="B18" i="6" s="1"/>
  <c r="B7" i="6"/>
  <c r="B6" i="6"/>
  <c r="B7" i="5"/>
  <c r="B6" i="5"/>
  <c r="B7" i="4"/>
  <c r="E15" i="4" s="1"/>
  <c r="B6" i="4"/>
  <c r="L8" i="13"/>
  <c r="B8" i="13"/>
  <c r="A8" i="13"/>
  <c r="O2" i="15" s="1"/>
  <c r="J5" i="29" s="1"/>
  <c r="B7" i="13"/>
  <c r="A7" i="13"/>
  <c r="O2" i="19" s="1"/>
  <c r="J5" i="33" s="1"/>
  <c r="B6" i="13"/>
  <c r="A6" i="13"/>
  <c r="O2" i="18" s="1"/>
  <c r="J5" i="32" s="1"/>
  <c r="B5" i="13"/>
  <c r="A5" i="13"/>
  <c r="O2" i="17" s="1"/>
  <c r="J5" i="31" s="1"/>
  <c r="B4" i="13"/>
  <c r="A4" i="13"/>
  <c r="O2" i="16" s="1"/>
  <c r="J5" i="30" s="1"/>
  <c r="G84" i="14" l="1"/>
  <c r="G86" i="14"/>
  <c r="G85" i="14"/>
  <c r="G83" i="14"/>
  <c r="G76" i="14"/>
  <c r="G82" i="14"/>
  <c r="G81" i="14"/>
  <c r="G80" i="14"/>
  <c r="G79" i="14"/>
  <c r="G78" i="14"/>
  <c r="G77" i="14"/>
  <c r="G75" i="14"/>
  <c r="G74" i="14"/>
  <c r="G73" i="14"/>
  <c r="G72" i="14"/>
  <c r="G71" i="14"/>
  <c r="G70" i="14"/>
  <c r="G69" i="14"/>
  <c r="G68" i="14"/>
  <c r="G67" i="14"/>
  <c r="G66" i="14"/>
  <c r="G65" i="14"/>
  <c r="G64" i="14"/>
  <c r="G63" i="14"/>
  <c r="G62" i="14"/>
  <c r="G61" i="14"/>
  <c r="G60" i="14"/>
  <c r="G59" i="14"/>
  <c r="G58" i="14"/>
  <c r="G57" i="14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2" i="14"/>
  <c r="G13" i="14"/>
  <c r="G14" i="14"/>
  <c r="G15" i="14"/>
  <c r="B9" i="14"/>
  <c r="C81" i="14" s="1"/>
  <c r="B8" i="14"/>
  <c r="C59" i="14" s="1"/>
  <c r="B7" i="14"/>
  <c r="C49" i="14" s="1"/>
  <c r="B6" i="14"/>
  <c r="C41" i="14" s="1"/>
  <c r="B5" i="14"/>
  <c r="C12" i="14" s="1"/>
  <c r="I12" i="14" s="1"/>
  <c r="D42" i="10"/>
  <c r="D6" i="13" s="1"/>
  <c r="B23" i="18" s="1"/>
  <c r="J9" i="32" s="1"/>
  <c r="B17" i="14"/>
  <c r="B50" i="14"/>
  <c r="D52" i="14"/>
  <c r="O52" i="14" s="1"/>
  <c r="B21" i="14"/>
  <c r="B16" i="14"/>
  <c r="B38" i="14"/>
  <c r="B47" i="14"/>
  <c r="B30" i="14"/>
  <c r="B31" i="14"/>
  <c r="D37" i="14"/>
  <c r="B22" i="14"/>
  <c r="D56" i="14"/>
  <c r="B12" i="14"/>
  <c r="B23" i="14"/>
  <c r="D40" i="14"/>
  <c r="D70" i="14"/>
  <c r="B13" i="14"/>
  <c r="B24" i="14"/>
  <c r="D41" i="14"/>
  <c r="O41" i="14" s="1"/>
  <c r="D71" i="14"/>
  <c r="B14" i="14"/>
  <c r="D24" i="14"/>
  <c r="D84" i="14"/>
  <c r="D55" i="14"/>
  <c r="O55" i="14" s="1"/>
  <c r="B15" i="14"/>
  <c r="D25" i="14"/>
  <c r="D85" i="14"/>
  <c r="B32" i="14"/>
  <c r="B33" i="14"/>
  <c r="B19" i="14"/>
  <c r="B26" i="14"/>
  <c r="B34" i="14"/>
  <c r="B41" i="14"/>
  <c r="B54" i="14"/>
  <c r="A91" i="14"/>
  <c r="B20" i="14"/>
  <c r="B27" i="14"/>
  <c r="B35" i="14"/>
  <c r="B55" i="14"/>
  <c r="A93" i="14"/>
  <c r="B40" i="14"/>
  <c r="B28" i="14"/>
  <c r="B36" i="14"/>
  <c r="B42" i="14"/>
  <c r="B29" i="14"/>
  <c r="B37" i="14"/>
  <c r="B43" i="14"/>
  <c r="D64" i="14"/>
  <c r="A92" i="14"/>
  <c r="B18" i="14"/>
  <c r="D51" i="14"/>
  <c r="D63" i="14"/>
  <c r="O63" i="14" s="1"/>
  <c r="D36" i="14"/>
  <c r="D80" i="14"/>
  <c r="B76" i="14"/>
  <c r="B80" i="14"/>
  <c r="B85" i="14"/>
  <c r="D76" i="14"/>
  <c r="D17" i="14"/>
  <c r="O17" i="14" s="1"/>
  <c r="D50" i="14"/>
  <c r="O50" i="14" s="1"/>
  <c r="D62" i="14"/>
  <c r="D77" i="14"/>
  <c r="D65" i="14"/>
  <c r="D81" i="14"/>
  <c r="D20" i="14"/>
  <c r="D32" i="14"/>
  <c r="D21" i="14"/>
  <c r="D33" i="14"/>
  <c r="O33" i="14" s="1"/>
  <c r="D16" i="14"/>
  <c r="D44" i="14"/>
  <c r="O44" i="14" s="1"/>
  <c r="D45" i="14"/>
  <c r="D28" i="14"/>
  <c r="O28" i="14" s="1"/>
  <c r="D12" i="14"/>
  <c r="B72" i="14"/>
  <c r="B81" i="14"/>
  <c r="A95" i="14"/>
  <c r="D13" i="14"/>
  <c r="D29" i="14"/>
  <c r="D46" i="14"/>
  <c r="O46" i="14" s="1"/>
  <c r="D66" i="14"/>
  <c r="O66" i="14" s="1"/>
  <c r="B82" i="14"/>
  <c r="D14" i="14"/>
  <c r="O14" i="14" s="1"/>
  <c r="D18" i="14"/>
  <c r="O18" i="14" s="1"/>
  <c r="D22" i="14"/>
  <c r="O22" i="14" s="1"/>
  <c r="D26" i="14"/>
  <c r="O26" i="14" s="1"/>
  <c r="D30" i="14"/>
  <c r="O30" i="14" s="1"/>
  <c r="D34" i="14"/>
  <c r="O34" i="14" s="1"/>
  <c r="D38" i="14"/>
  <c r="O38" i="14" s="1"/>
  <c r="D42" i="14"/>
  <c r="O42" i="14" s="1"/>
  <c r="D47" i="14"/>
  <c r="O47" i="14" s="1"/>
  <c r="D53" i="14"/>
  <c r="B59" i="14"/>
  <c r="D67" i="14"/>
  <c r="D73" i="14"/>
  <c r="D78" i="14"/>
  <c r="B83" i="14"/>
  <c r="D90" i="14"/>
  <c r="D57" i="14"/>
  <c r="D58" i="14"/>
  <c r="B73" i="14"/>
  <c r="B78" i="14"/>
  <c r="C90" i="14"/>
  <c r="D48" i="14"/>
  <c r="D60" i="14"/>
  <c r="D68" i="14"/>
  <c r="B74" i="14"/>
  <c r="B79" i="14"/>
  <c r="D83" i="14"/>
  <c r="F90" i="14"/>
  <c r="B77" i="14"/>
  <c r="D72" i="14"/>
  <c r="B86" i="14"/>
  <c r="D15" i="14"/>
  <c r="D19" i="14"/>
  <c r="O19" i="14" s="1"/>
  <c r="D23" i="14"/>
  <c r="O23" i="14" s="1"/>
  <c r="D27" i="14"/>
  <c r="D31" i="14"/>
  <c r="O31" i="14" s="1"/>
  <c r="D35" i="14"/>
  <c r="D39" i="14"/>
  <c r="O39" i="14" s="1"/>
  <c r="D43" i="14"/>
  <c r="D49" i="14"/>
  <c r="O49" i="14" s="1"/>
  <c r="D54" i="14"/>
  <c r="O54" i="14" s="1"/>
  <c r="D61" i="14"/>
  <c r="D69" i="14"/>
  <c r="B75" i="14"/>
  <c r="B60" i="14"/>
  <c r="B64" i="14"/>
  <c r="B68" i="14"/>
  <c r="A94" i="14"/>
  <c r="B61" i="14"/>
  <c r="B65" i="14"/>
  <c r="B69" i="14"/>
  <c r="B57" i="14"/>
  <c r="B62" i="14"/>
  <c r="B66" i="14"/>
  <c r="B70" i="14"/>
  <c r="B58" i="14"/>
  <c r="B63" i="14"/>
  <c r="B67" i="14"/>
  <c r="D74" i="14"/>
  <c r="E90" i="14"/>
  <c r="D59" i="14"/>
  <c r="B53" i="14"/>
  <c r="B49" i="14"/>
  <c r="B45" i="14"/>
  <c r="B56" i="14"/>
  <c r="B52" i="14"/>
  <c r="B48" i="14"/>
  <c r="B44" i="14"/>
  <c r="D82" i="14"/>
  <c r="O79" i="14"/>
  <c r="O86" i="14"/>
  <c r="O75" i="14"/>
  <c r="C7" i="13"/>
  <c r="O3" i="19" s="1"/>
  <c r="B22" i="6"/>
  <c r="F22" i="6" s="1"/>
  <c r="C134" i="11"/>
  <c r="C8" i="13"/>
  <c r="O3" i="15" s="1"/>
  <c r="J6" i="29" s="1"/>
  <c r="C5" i="13"/>
  <c r="O3" i="17" s="1"/>
  <c r="B20" i="6"/>
  <c r="F20" i="6" s="1"/>
  <c r="B34" i="10"/>
  <c r="D34" i="10"/>
  <c r="D43" i="10"/>
  <c r="C4" i="13"/>
  <c r="O3" i="16" s="1"/>
  <c r="J6" i="30" s="1"/>
  <c r="D41" i="10"/>
  <c r="D5" i="13" s="1"/>
  <c r="B23" i="17" s="1"/>
  <c r="J9" i="31" s="1"/>
  <c r="B15" i="6"/>
  <c r="F15" i="6" s="1"/>
  <c r="B17" i="6"/>
  <c r="F17" i="6" s="1"/>
  <c r="G17" i="20"/>
  <c r="B24" i="7"/>
  <c r="F24" i="7" s="1"/>
  <c r="B19" i="7"/>
  <c r="F19" i="7" s="1"/>
  <c r="B16" i="7"/>
  <c r="F16" i="7" s="1"/>
  <c r="B21" i="7"/>
  <c r="F21" i="7" s="1"/>
  <c r="B17" i="7"/>
  <c r="F17" i="7" s="1"/>
  <c r="J9" i="23"/>
  <c r="J4" i="20"/>
  <c r="C10" i="20" s="1"/>
  <c r="B5" i="10"/>
  <c r="B15" i="10" s="1"/>
  <c r="B18" i="7"/>
  <c r="F18" i="7" s="1"/>
  <c r="I45" i="25"/>
  <c r="H42" i="23" s="1"/>
  <c r="J42" i="23" s="1"/>
  <c r="B16" i="6"/>
  <c r="F16" i="6" s="1"/>
  <c r="B19" i="6"/>
  <c r="F19" i="6" s="1"/>
  <c r="D44" i="10"/>
  <c r="E21" i="15"/>
  <c r="B14" i="10"/>
  <c r="E25" i="4"/>
  <c r="E23" i="4"/>
  <c r="E21" i="4"/>
  <c r="E19" i="4"/>
  <c r="E17" i="4"/>
  <c r="E24" i="4"/>
  <c r="E22" i="4"/>
  <c r="E20" i="4"/>
  <c r="E16" i="4"/>
  <c r="I15" i="18"/>
  <c r="I12" i="18"/>
  <c r="I21" i="18"/>
  <c r="I13" i="18"/>
  <c r="I19" i="18"/>
  <c r="I10" i="18"/>
  <c r="I18" i="18"/>
  <c r="I16" i="18"/>
  <c r="I11" i="18"/>
  <c r="I14" i="18"/>
  <c r="I8" i="18"/>
  <c r="I17" i="18"/>
  <c r="I9" i="18"/>
  <c r="E18" i="4"/>
  <c r="B25" i="6"/>
  <c r="F25" i="6" s="1"/>
  <c r="B23" i="6"/>
  <c r="F23" i="6" s="1"/>
  <c r="B21" i="6"/>
  <c r="F21" i="6" s="1"/>
  <c r="F18" i="6"/>
  <c r="B24" i="6"/>
  <c r="F24" i="6" s="1"/>
  <c r="B20" i="7"/>
  <c r="F20" i="7" s="1"/>
  <c r="B22" i="7"/>
  <c r="F22" i="7" s="1"/>
  <c r="B15" i="7"/>
  <c r="F15" i="7" s="1"/>
  <c r="F25" i="7"/>
  <c r="B23" i="7"/>
  <c r="F23" i="7" s="1"/>
  <c r="D8" i="18"/>
  <c r="C5" i="32" s="1"/>
  <c r="D8" i="17"/>
  <c r="C5" i="31" s="1"/>
  <c r="D8" i="19"/>
  <c r="C5" i="33" s="1"/>
  <c r="D8" i="16"/>
  <c r="C5" i="30" s="1"/>
  <c r="D8" i="15"/>
  <c r="C5" i="29" s="1"/>
  <c r="C34" i="10"/>
  <c r="D10" i="19"/>
  <c r="C7" i="33" s="1"/>
  <c r="D10" i="16"/>
  <c r="C7" i="30" s="1"/>
  <c r="D10" i="18"/>
  <c r="C7" i="32" s="1"/>
  <c r="D10" i="17"/>
  <c r="C7" i="31" s="1"/>
  <c r="D10" i="15"/>
  <c r="C7" i="29" s="1"/>
  <c r="D12" i="17"/>
  <c r="C9" i="31" s="1"/>
  <c r="D12" i="18"/>
  <c r="C9" i="32" s="1"/>
  <c r="D12" i="16"/>
  <c r="C9" i="30" s="1"/>
  <c r="D12" i="19"/>
  <c r="C9" i="33" s="1"/>
  <c r="D12" i="15"/>
  <c r="C9" i="29" s="1"/>
  <c r="D14" i="19"/>
  <c r="C11" i="33" s="1"/>
  <c r="D14" i="16"/>
  <c r="C11" i="30" s="1"/>
  <c r="D14" i="17"/>
  <c r="C11" i="31" s="1"/>
  <c r="D14" i="15"/>
  <c r="C11" i="29" s="1"/>
  <c r="D14" i="18"/>
  <c r="C11" i="32" s="1"/>
  <c r="D16" i="17"/>
  <c r="C13" i="31" s="1"/>
  <c r="D16" i="18"/>
  <c r="C13" i="32" s="1"/>
  <c r="D16" i="19"/>
  <c r="C13" i="33" s="1"/>
  <c r="D16" i="16"/>
  <c r="C13" i="30" s="1"/>
  <c r="D16" i="15"/>
  <c r="C13" i="29" s="1"/>
  <c r="D18" i="18"/>
  <c r="C15" i="32" s="1"/>
  <c r="D18" i="19"/>
  <c r="C15" i="33" s="1"/>
  <c r="D18" i="16"/>
  <c r="C15" i="30" s="1"/>
  <c r="D18" i="15"/>
  <c r="C15" i="29" s="1"/>
  <c r="D18" i="17"/>
  <c r="C15" i="31" s="1"/>
  <c r="J2" i="19"/>
  <c r="J2" i="18"/>
  <c r="J2" i="16"/>
  <c r="J2" i="17"/>
  <c r="J2" i="15"/>
  <c r="J3" i="18"/>
  <c r="J3" i="19"/>
  <c r="J3" i="16"/>
  <c r="J3" i="15"/>
  <c r="J3" i="17"/>
  <c r="D9" i="19"/>
  <c r="C6" i="33" s="1"/>
  <c r="D9" i="16"/>
  <c r="C6" i="30" s="1"/>
  <c r="D9" i="17"/>
  <c r="C6" i="31" s="1"/>
  <c r="D9" i="15"/>
  <c r="C6" i="29" s="1"/>
  <c r="D9" i="18"/>
  <c r="C6" i="32" s="1"/>
  <c r="D11" i="19"/>
  <c r="C8" i="33" s="1"/>
  <c r="D11" i="18"/>
  <c r="C8" i="32" s="1"/>
  <c r="D11" i="15"/>
  <c r="C8" i="29" s="1"/>
  <c r="D11" i="16"/>
  <c r="C8" i="30" s="1"/>
  <c r="D11" i="17"/>
  <c r="C8" i="31" s="1"/>
  <c r="D13" i="16"/>
  <c r="C10" i="30" s="1"/>
  <c r="D13" i="18"/>
  <c r="C10" i="32" s="1"/>
  <c r="D13" i="17"/>
  <c r="C10" i="31" s="1"/>
  <c r="D13" i="15"/>
  <c r="C10" i="29" s="1"/>
  <c r="D13" i="19"/>
  <c r="C10" i="33" s="1"/>
  <c r="D15" i="18"/>
  <c r="C12" i="32" s="1"/>
  <c r="D15" i="19"/>
  <c r="C12" i="33" s="1"/>
  <c r="D15" i="16"/>
  <c r="C12" i="30" s="1"/>
  <c r="D15" i="17"/>
  <c r="C12" i="31" s="1"/>
  <c r="D15" i="15"/>
  <c r="C12" i="29" s="1"/>
  <c r="D17" i="19"/>
  <c r="C14" i="33" s="1"/>
  <c r="D17" i="17"/>
  <c r="C14" i="31" s="1"/>
  <c r="D17" i="16"/>
  <c r="C14" i="30" s="1"/>
  <c r="D17" i="18"/>
  <c r="C14" i="32" s="1"/>
  <c r="D17" i="15"/>
  <c r="C14" i="29" s="1"/>
  <c r="D19" i="19"/>
  <c r="C16" i="33" s="1"/>
  <c r="D19" i="15"/>
  <c r="C16" i="29" s="1"/>
  <c r="D19" i="17"/>
  <c r="C16" i="31" s="1"/>
  <c r="D19" i="16"/>
  <c r="C16" i="30" s="1"/>
  <c r="D19" i="18"/>
  <c r="C16" i="32" s="1"/>
  <c r="B21" i="16"/>
  <c r="E21" i="16"/>
  <c r="E21" i="17"/>
  <c r="B21" i="15"/>
  <c r="J21" i="15"/>
  <c r="D17" i="29" s="1"/>
  <c r="B21" i="17"/>
  <c r="F21" i="20"/>
  <c r="G8" i="20"/>
  <c r="B21" i="18"/>
  <c r="B21" i="19"/>
  <c r="E21" i="18"/>
  <c r="E21" i="19"/>
  <c r="G32" i="24"/>
  <c r="J49" i="23" s="1"/>
  <c r="C54" i="14" l="1"/>
  <c r="I54" i="14" s="1"/>
  <c r="C29" i="14"/>
  <c r="I29" i="14" s="1"/>
  <c r="C45" i="14"/>
  <c r="I45" i="14" s="1"/>
  <c r="C50" i="14"/>
  <c r="I50" i="14" s="1"/>
  <c r="C62" i="14"/>
  <c r="I62" i="14" s="1"/>
  <c r="C69" i="14"/>
  <c r="I69" i="14" s="1"/>
  <c r="C70" i="14"/>
  <c r="I70" i="14" s="1"/>
  <c r="C58" i="14"/>
  <c r="I58" i="14" s="1"/>
  <c r="C61" i="14"/>
  <c r="I61" i="14" s="1"/>
  <c r="C57" i="14"/>
  <c r="I57" i="14" s="1"/>
  <c r="C56" i="14"/>
  <c r="I56" i="14" s="1"/>
  <c r="C48" i="14"/>
  <c r="I48" i="14" s="1"/>
  <c r="C46" i="14"/>
  <c r="I46" i="14" s="1"/>
  <c r="C42" i="14"/>
  <c r="I42" i="14" s="1"/>
  <c r="C47" i="14"/>
  <c r="I47" i="14" s="1"/>
  <c r="C51" i="14"/>
  <c r="I51" i="14" s="1"/>
  <c r="C44" i="14"/>
  <c r="I44" i="14" s="1"/>
  <c r="C43" i="14"/>
  <c r="I43" i="14" s="1"/>
  <c r="C73" i="14"/>
  <c r="I73" i="14" s="1"/>
  <c r="C75" i="14"/>
  <c r="I75" i="14" s="1"/>
  <c r="C34" i="14"/>
  <c r="I34" i="14" s="1"/>
  <c r="C52" i="14"/>
  <c r="I52" i="14" s="1"/>
  <c r="C35" i="14"/>
  <c r="I35" i="14" s="1"/>
  <c r="C84" i="14"/>
  <c r="I84" i="14" s="1"/>
  <c r="C37" i="14"/>
  <c r="I37" i="14" s="1"/>
  <c r="C53" i="14"/>
  <c r="I53" i="14" s="1"/>
  <c r="C65" i="14"/>
  <c r="I65" i="14" s="1"/>
  <c r="C82" i="14"/>
  <c r="I82" i="14" s="1"/>
  <c r="C86" i="14"/>
  <c r="I86" i="14" s="1"/>
  <c r="C71" i="14"/>
  <c r="I71" i="14" s="1"/>
  <c r="C66" i="14"/>
  <c r="I66" i="14" s="1"/>
  <c r="C67" i="14"/>
  <c r="I67" i="14" s="1"/>
  <c r="C55" i="14"/>
  <c r="I55" i="14" s="1"/>
  <c r="C64" i="14"/>
  <c r="I64" i="14" s="1"/>
  <c r="C63" i="14"/>
  <c r="I63" i="14" s="1"/>
  <c r="C76" i="14"/>
  <c r="I76" i="14" s="1"/>
  <c r="C77" i="14"/>
  <c r="I77" i="14" s="1"/>
  <c r="C30" i="14"/>
  <c r="I30" i="14" s="1"/>
  <c r="C60" i="14"/>
  <c r="I60" i="14" s="1"/>
  <c r="C18" i="14"/>
  <c r="I18" i="14" s="1"/>
  <c r="C28" i="14"/>
  <c r="I28" i="14" s="1"/>
  <c r="C38" i="14"/>
  <c r="I38" i="14" s="1"/>
  <c r="C31" i="14"/>
  <c r="I31" i="14" s="1"/>
  <c r="C36" i="14"/>
  <c r="I36" i="14" s="1"/>
  <c r="C33" i="14"/>
  <c r="I33" i="14" s="1"/>
  <c r="C32" i="14"/>
  <c r="I32" i="14" s="1"/>
  <c r="C40" i="14"/>
  <c r="I40" i="14" s="1"/>
  <c r="C39" i="14"/>
  <c r="I39" i="14" s="1"/>
  <c r="C27" i="14"/>
  <c r="I27" i="14" s="1"/>
  <c r="C19" i="14"/>
  <c r="I19" i="14" s="1"/>
  <c r="C22" i="14"/>
  <c r="I22" i="14" s="1"/>
  <c r="C25" i="14"/>
  <c r="I25" i="14" s="1"/>
  <c r="C79" i="14"/>
  <c r="I79" i="14" s="1"/>
  <c r="C83" i="14"/>
  <c r="I83" i="14" s="1"/>
  <c r="C78" i="14"/>
  <c r="I78" i="14" s="1"/>
  <c r="C80" i="14"/>
  <c r="I80" i="14" s="1"/>
  <c r="C74" i="14"/>
  <c r="I74" i="14" s="1"/>
  <c r="C85" i="14"/>
  <c r="I85" i="14" s="1"/>
  <c r="C72" i="14"/>
  <c r="I72" i="14" s="1"/>
  <c r="C16" i="14"/>
  <c r="C24" i="14"/>
  <c r="D134" i="11"/>
  <c r="C15" i="14"/>
  <c r="C20" i="14"/>
  <c r="C14" i="14"/>
  <c r="C17" i="14"/>
  <c r="C26" i="14"/>
  <c r="C21" i="14"/>
  <c r="C23" i="14"/>
  <c r="C13" i="14"/>
  <c r="O25" i="14"/>
  <c r="C68" i="14"/>
  <c r="I41" i="14"/>
  <c r="I49" i="14"/>
  <c r="O37" i="14"/>
  <c r="O85" i="14"/>
  <c r="O56" i="14"/>
  <c r="O24" i="14"/>
  <c r="O84" i="14"/>
  <c r="O40" i="14"/>
  <c r="O71" i="14"/>
  <c r="O70" i="14"/>
  <c r="O64" i="14"/>
  <c r="O80" i="14"/>
  <c r="O51" i="14"/>
  <c r="O36" i="14"/>
  <c r="O16" i="14"/>
  <c r="O65" i="14"/>
  <c r="O67" i="14"/>
  <c r="O76" i="14"/>
  <c r="O27" i="14"/>
  <c r="O61" i="14"/>
  <c r="O13" i="14"/>
  <c r="O32" i="14"/>
  <c r="O21" i="14"/>
  <c r="O58" i="14"/>
  <c r="O62" i="14"/>
  <c r="O20" i="14"/>
  <c r="O53" i="14"/>
  <c r="O81" i="14"/>
  <c r="O48" i="14"/>
  <c r="O77" i="14"/>
  <c r="O78" i="14"/>
  <c r="O45" i="14"/>
  <c r="O12" i="14"/>
  <c r="O72" i="14"/>
  <c r="O59" i="14"/>
  <c r="O29" i="14"/>
  <c r="O83" i="14"/>
  <c r="O57" i="14"/>
  <c r="O35" i="14"/>
  <c r="O73" i="14"/>
  <c r="O74" i="14"/>
  <c r="O69" i="14"/>
  <c r="O68" i="14"/>
  <c r="O15" i="14"/>
  <c r="O60" i="14"/>
  <c r="O43" i="14"/>
  <c r="O82" i="14"/>
  <c r="I15" i="19"/>
  <c r="J6" i="33"/>
  <c r="I21" i="17"/>
  <c r="J6" i="31"/>
  <c r="I16" i="16"/>
  <c r="I9" i="15"/>
  <c r="I11" i="15"/>
  <c r="I15" i="15"/>
  <c r="I17" i="19"/>
  <c r="A237" i="11"/>
  <c r="A140" i="11"/>
  <c r="A244" i="11"/>
  <c r="A148" i="11"/>
  <c r="A194" i="11"/>
  <c r="A191" i="11"/>
  <c r="A89" i="11"/>
  <c r="A241" i="11"/>
  <c r="A49" i="11"/>
  <c r="A143" i="11"/>
  <c r="A238" i="11"/>
  <c r="A246" i="11"/>
  <c r="I12" i="19"/>
  <c r="I21" i="19"/>
  <c r="I11" i="19"/>
  <c r="I13" i="17"/>
  <c r="I18" i="19"/>
  <c r="I19" i="19"/>
  <c r="I10" i="19"/>
  <c r="I8" i="19"/>
  <c r="I13" i="19"/>
  <c r="I16" i="19"/>
  <c r="I9" i="19"/>
  <c r="I14" i="19"/>
  <c r="I21" i="16"/>
  <c r="I14" i="16"/>
  <c r="I15" i="16"/>
  <c r="G21" i="20"/>
  <c r="I17" i="16"/>
  <c r="I12" i="16"/>
  <c r="I9" i="16"/>
  <c r="I19" i="16"/>
  <c r="I8" i="16"/>
  <c r="I11" i="16"/>
  <c r="I10" i="16"/>
  <c r="I18" i="16"/>
  <c r="I13" i="16"/>
  <c r="J47" i="23"/>
  <c r="J53" i="23" s="1"/>
  <c r="I17" i="17"/>
  <c r="I11" i="17"/>
  <c r="I18" i="15"/>
  <c r="I16" i="15"/>
  <c r="A95" i="11"/>
  <c r="A40" i="11"/>
  <c r="A245" i="11"/>
  <c r="A146" i="11"/>
  <c r="A45" i="11"/>
  <c r="A98" i="11"/>
  <c r="A47" i="11"/>
  <c r="A193" i="11"/>
  <c r="A190" i="11"/>
  <c r="A189" i="11"/>
  <c r="A97" i="11"/>
  <c r="A188" i="11"/>
  <c r="A92" i="11"/>
  <c r="A240" i="11"/>
  <c r="I15" i="17"/>
  <c r="I19" i="17"/>
  <c r="I17" i="15"/>
  <c r="A94" i="11"/>
  <c r="A195" i="11"/>
  <c r="A96" i="11"/>
  <c r="A242" i="11"/>
  <c r="A91" i="11"/>
  <c r="A197" i="11"/>
  <c r="A138" i="11"/>
  <c r="A196" i="11"/>
  <c r="A139" i="11"/>
  <c r="A142" i="11"/>
  <c r="I8" i="17"/>
  <c r="I10" i="17"/>
  <c r="I10" i="15"/>
  <c r="I14" i="15"/>
  <c r="I19" i="15"/>
  <c r="A141" i="11"/>
  <c r="I12" i="17"/>
  <c r="I16" i="17"/>
  <c r="I21" i="15"/>
  <c r="B17" i="10"/>
  <c r="B13" i="10" s="1"/>
  <c r="A48" i="11"/>
  <c r="A192" i="11"/>
  <c r="A236" i="11"/>
  <c r="A147" i="11"/>
  <c r="A99" i="11"/>
  <c r="I18" i="17"/>
  <c r="I9" i="17"/>
  <c r="I8" i="15"/>
  <c r="I13" i="15"/>
  <c r="A144" i="11"/>
  <c r="A41" i="11"/>
  <c r="A93" i="11"/>
  <c r="A46" i="11"/>
  <c r="A243" i="11"/>
  <c r="A187" i="11"/>
  <c r="I14" i="17"/>
  <c r="I12" i="15"/>
  <c r="C8" i="20"/>
  <c r="D85" i="11"/>
  <c r="D183" i="11"/>
  <c r="D7" i="13"/>
  <c r="B23" i="19" s="1"/>
  <c r="J9" i="33" s="1"/>
  <c r="C11" i="20"/>
  <c r="H11" i="20" s="1"/>
  <c r="I11" i="20" s="1"/>
  <c r="J11" i="20" s="1"/>
  <c r="C16" i="20"/>
  <c r="H16" i="20" s="1"/>
  <c r="I16" i="20" s="1"/>
  <c r="J16" i="20" s="1"/>
  <c r="D232" i="11"/>
  <c r="D8" i="13"/>
  <c r="B23" i="15" s="1"/>
  <c r="J9" i="29" s="1"/>
  <c r="C18" i="20"/>
  <c r="H18" i="20" s="1"/>
  <c r="I18" i="20" s="1"/>
  <c r="J18" i="20" s="1"/>
  <c r="D36" i="11"/>
  <c r="D4" i="13"/>
  <c r="B23" i="16" s="1"/>
  <c r="J9" i="30" s="1"/>
  <c r="C19" i="20"/>
  <c r="H19" i="20" s="1"/>
  <c r="I19" i="20" s="1"/>
  <c r="J19" i="20" s="1"/>
  <c r="H10" i="20"/>
  <c r="I10" i="20" s="1"/>
  <c r="J10" i="20" s="1"/>
  <c r="C12" i="20"/>
  <c r="H12" i="20" s="1"/>
  <c r="I12" i="20" s="1"/>
  <c r="J12" i="20" s="1"/>
  <c r="C15" i="20"/>
  <c r="H15" i="20" s="1"/>
  <c r="I15" i="20" s="1"/>
  <c r="J15" i="20" s="1"/>
  <c r="C9" i="20"/>
  <c r="I59" i="14"/>
  <c r="C13" i="20"/>
  <c r="H13" i="20" s="1"/>
  <c r="I13" i="20" s="1"/>
  <c r="J13" i="20" s="1"/>
  <c r="C17" i="20"/>
  <c r="H17" i="20" s="1"/>
  <c r="I17" i="20" s="1"/>
  <c r="J17" i="20" s="1"/>
  <c r="C14" i="20"/>
  <c r="I81" i="14"/>
  <c r="A239" i="11"/>
  <c r="A44" i="11"/>
  <c r="A90" i="11"/>
  <c r="A43" i="11"/>
  <c r="A145" i="11"/>
  <c r="A42" i="11"/>
  <c r="A50" i="11"/>
  <c r="B16" i="10"/>
  <c r="D21" i="15"/>
  <c r="C17" i="29" s="1"/>
  <c r="D21" i="16"/>
  <c r="C17" i="30" s="1"/>
  <c r="D21" i="19"/>
  <c r="C17" i="33" s="1"/>
  <c r="D21" i="17"/>
  <c r="C17" i="31" s="1"/>
  <c r="B11" i="8"/>
  <c r="B12" i="7"/>
  <c r="D21" i="18"/>
  <c r="C17" i="32" s="1"/>
  <c r="B94" i="11"/>
  <c r="B90" i="11"/>
  <c r="B188" i="11"/>
  <c r="B46" i="11"/>
  <c r="B144" i="11"/>
  <c r="B24" i="8"/>
  <c r="B237" i="11"/>
  <c r="B240" i="11"/>
  <c r="B96" i="11"/>
  <c r="B19" i="8"/>
  <c r="B238" i="11"/>
  <c r="B236" i="11"/>
  <c r="B192" i="11"/>
  <c r="B241" i="11"/>
  <c r="B43" i="11"/>
  <c r="B148" i="11"/>
  <c r="B40" i="11"/>
  <c r="B141" i="11"/>
  <c r="B196" i="11"/>
  <c r="B191" i="11"/>
  <c r="B18" i="8"/>
  <c r="B22" i="8"/>
  <c r="B42" i="11"/>
  <c r="B194" i="11"/>
  <c r="B47" i="11"/>
  <c r="B21" i="8"/>
  <c r="B138" i="11"/>
  <c r="B139" i="11"/>
  <c r="B142" i="11"/>
  <c r="B143" i="11"/>
  <c r="B147" i="11"/>
  <c r="B50" i="11"/>
  <c r="B49" i="11"/>
  <c r="B15" i="8"/>
  <c r="B45" i="11"/>
  <c r="B99" i="11"/>
  <c r="B16" i="8"/>
  <c r="B97" i="11"/>
  <c r="B242" i="11"/>
  <c r="B197" i="11"/>
  <c r="B98" i="11"/>
  <c r="B20" i="8"/>
  <c r="B195" i="11"/>
  <c r="B189" i="11"/>
  <c r="B91" i="11"/>
  <c r="B48" i="11"/>
  <c r="B41" i="11"/>
  <c r="B243" i="11"/>
  <c r="B17" i="8"/>
  <c r="B245" i="11"/>
  <c r="B244" i="11"/>
  <c r="B92" i="11"/>
  <c r="B44" i="11"/>
  <c r="B23" i="8"/>
  <c r="B246" i="11"/>
  <c r="B146" i="11"/>
  <c r="B140" i="11"/>
  <c r="B95" i="11"/>
  <c r="B145" i="11"/>
  <c r="B193" i="11"/>
  <c r="B25" i="8"/>
  <c r="B190" i="11"/>
  <c r="B89" i="11"/>
  <c r="B239" i="11"/>
  <c r="B93" i="11"/>
  <c r="B187" i="11"/>
  <c r="I15" i="14" l="1"/>
  <c r="I16" i="14"/>
  <c r="I13" i="14"/>
  <c r="I24" i="14"/>
  <c r="I14" i="14"/>
  <c r="I21" i="14"/>
  <c r="I23" i="14"/>
  <c r="I26" i="14"/>
  <c r="I17" i="14"/>
  <c r="I20" i="14"/>
  <c r="I68" i="14"/>
  <c r="E237" i="11"/>
  <c r="C237" i="11"/>
  <c r="C241" i="11"/>
  <c r="E241" i="11"/>
  <c r="C89" i="11"/>
  <c r="E89" i="11"/>
  <c r="C246" i="11"/>
  <c r="E246" i="11"/>
  <c r="E194" i="11"/>
  <c r="C194" i="11"/>
  <c r="E191" i="11"/>
  <c r="C191" i="11"/>
  <c r="E238" i="11"/>
  <c r="C238" i="11"/>
  <c r="E148" i="11"/>
  <c r="C148" i="11"/>
  <c r="C143" i="11"/>
  <c r="E143" i="11"/>
  <c r="E244" i="11"/>
  <c r="C244" i="11"/>
  <c r="C49" i="11"/>
  <c r="E49" i="11"/>
  <c r="C140" i="11"/>
  <c r="E140" i="11"/>
  <c r="B27" i="11"/>
  <c r="B31" i="11"/>
  <c r="B15" i="11"/>
  <c r="B18" i="11"/>
  <c r="B9" i="11"/>
  <c r="B29" i="11"/>
  <c r="B20" i="11"/>
  <c r="H8" i="20"/>
  <c r="I8" i="20" s="1"/>
  <c r="H14" i="20"/>
  <c r="I14" i="20" s="1"/>
  <c r="J14" i="20" s="1"/>
  <c r="C188" i="11"/>
  <c r="E188" i="11"/>
  <c r="C243" i="11"/>
  <c r="E243" i="11"/>
  <c r="E142" i="11"/>
  <c r="C142" i="11"/>
  <c r="E195" i="11"/>
  <c r="C195" i="11"/>
  <c r="C245" i="11"/>
  <c r="E245" i="11"/>
  <c r="C46" i="11"/>
  <c r="E46" i="11"/>
  <c r="E99" i="11"/>
  <c r="C99" i="11"/>
  <c r="E139" i="11"/>
  <c r="C139" i="11"/>
  <c r="E94" i="11"/>
  <c r="C94" i="11"/>
  <c r="C189" i="11"/>
  <c r="E189" i="11"/>
  <c r="C40" i="11"/>
  <c r="E40" i="11"/>
  <c r="C187" i="11"/>
  <c r="E187" i="11"/>
  <c r="C96" i="11"/>
  <c r="E96" i="11"/>
  <c r="C146" i="11"/>
  <c r="E146" i="11"/>
  <c r="C97" i="11"/>
  <c r="E97" i="11"/>
  <c r="C93" i="11"/>
  <c r="E93" i="11"/>
  <c r="E147" i="11"/>
  <c r="C147" i="11"/>
  <c r="E141" i="11"/>
  <c r="C141" i="11"/>
  <c r="C196" i="11"/>
  <c r="E196" i="11"/>
  <c r="E190" i="11"/>
  <c r="C190" i="11"/>
  <c r="E95" i="11"/>
  <c r="C95" i="11"/>
  <c r="E193" i="11"/>
  <c r="C193" i="11"/>
  <c r="C236" i="11"/>
  <c r="E236" i="11"/>
  <c r="E144" i="11"/>
  <c r="C144" i="11"/>
  <c r="C192" i="11"/>
  <c r="E192" i="11"/>
  <c r="C197" i="11"/>
  <c r="E197" i="11"/>
  <c r="C47" i="11"/>
  <c r="E47" i="11"/>
  <c r="E41" i="11"/>
  <c r="C41" i="11"/>
  <c r="C48" i="11"/>
  <c r="E48" i="11"/>
  <c r="E91" i="11"/>
  <c r="C91" i="11"/>
  <c r="C240" i="11"/>
  <c r="E240" i="11"/>
  <c r="E98" i="11"/>
  <c r="C98" i="11"/>
  <c r="E138" i="11"/>
  <c r="C138" i="11"/>
  <c r="E242" i="11"/>
  <c r="C242" i="11"/>
  <c r="C92" i="11"/>
  <c r="E92" i="11"/>
  <c r="E45" i="11"/>
  <c r="C45" i="11"/>
  <c r="B8" i="11"/>
  <c r="B14" i="11"/>
  <c r="B26" i="11"/>
  <c r="B22" i="11"/>
  <c r="B7" i="11"/>
  <c r="B12" i="11"/>
  <c r="B30" i="11"/>
  <c r="B11" i="11"/>
  <c r="B16" i="11"/>
  <c r="B24" i="11"/>
  <c r="B17" i="11"/>
  <c r="B19" i="11"/>
  <c r="B13" i="11"/>
  <c r="B25" i="11"/>
  <c r="B23" i="11"/>
  <c r="B28" i="11"/>
  <c r="B21" i="11"/>
  <c r="B10" i="11"/>
  <c r="E90" i="11"/>
  <c r="C90" i="11"/>
  <c r="E44" i="11"/>
  <c r="C44" i="11"/>
  <c r="E43" i="11"/>
  <c r="C43" i="11"/>
  <c r="E239" i="11"/>
  <c r="C239" i="11"/>
  <c r="E145" i="11"/>
  <c r="C145" i="11"/>
  <c r="E50" i="11"/>
  <c r="C50" i="11"/>
  <c r="E42" i="11"/>
  <c r="C42" i="11"/>
  <c r="C21" i="20"/>
  <c r="H9" i="20"/>
  <c r="I9" i="20" s="1"/>
  <c r="J9" i="20" s="1"/>
  <c r="J56" i="23"/>
  <c r="F22" i="8"/>
  <c r="F15" i="8"/>
  <c r="F25" i="8"/>
  <c r="F17" i="8"/>
  <c r="F20" i="8"/>
  <c r="F23" i="8"/>
  <c r="F18" i="8"/>
  <c r="F24" i="8"/>
  <c r="F16" i="8"/>
  <c r="F21" i="8"/>
  <c r="F19" i="8"/>
  <c r="Z31" i="8"/>
  <c r="R27" i="8"/>
  <c r="V26" i="8"/>
  <c r="L29" i="8"/>
  <c r="R35" i="8"/>
  <c r="T39" i="8"/>
  <c r="J19" i="8"/>
  <c r="L31" i="8"/>
  <c r="J22" i="8"/>
  <c r="P36" i="8"/>
  <c r="J40" i="8"/>
  <c r="L40" i="8"/>
  <c r="AD26" i="8"/>
  <c r="X18" i="8"/>
  <c r="P39" i="8"/>
  <c r="V35" i="8"/>
  <c r="Z29" i="8"/>
  <c r="AB31" i="8"/>
  <c r="V20" i="8"/>
  <c r="N26" i="8"/>
  <c r="AD21" i="8"/>
  <c r="J37" i="8"/>
  <c r="AB30" i="8"/>
  <c r="J16" i="8"/>
  <c r="X40" i="8"/>
  <c r="AD27" i="8"/>
  <c r="R24" i="8"/>
  <c r="T38" i="8"/>
  <c r="R40" i="8"/>
  <c r="J33" i="8"/>
  <c r="N27" i="8"/>
  <c r="J39" i="8"/>
  <c r="N31" i="8"/>
  <c r="J35" i="8"/>
  <c r="N30" i="8"/>
  <c r="N37" i="8"/>
  <c r="T18" i="8"/>
  <c r="T19" i="8"/>
  <c r="P18" i="8"/>
  <c r="N17" i="8"/>
  <c r="N38" i="8"/>
  <c r="AB38" i="8"/>
  <c r="X30" i="8"/>
  <c r="N24" i="8"/>
  <c r="R36" i="8"/>
  <c r="P31" i="8"/>
  <c r="AB35" i="8"/>
  <c r="N23" i="8"/>
  <c r="V28" i="8"/>
  <c r="X24" i="8"/>
  <c r="V32" i="8"/>
  <c r="L38" i="8"/>
  <c r="R28" i="8"/>
  <c r="X31" i="8"/>
  <c r="L35" i="8"/>
  <c r="AD19" i="8"/>
  <c r="R30" i="8"/>
  <c r="Z37" i="8"/>
  <c r="T21" i="8"/>
  <c r="T28" i="8"/>
  <c r="P26" i="8"/>
  <c r="V22" i="8"/>
  <c r="X17" i="8"/>
  <c r="X34" i="8"/>
  <c r="N40" i="8"/>
  <c r="N20" i="8"/>
  <c r="AD33" i="8"/>
  <c r="P16" i="8"/>
  <c r="J30" i="8"/>
  <c r="Z17" i="8"/>
  <c r="AB19" i="8"/>
  <c r="AD16" i="8"/>
  <c r="L21" i="8"/>
  <c r="N34" i="8"/>
  <c r="Z20" i="8"/>
  <c r="L39" i="8"/>
  <c r="T17" i="8"/>
  <c r="V21" i="8"/>
  <c r="AB16" i="8"/>
  <c r="P32" i="8"/>
  <c r="X23" i="8"/>
  <c r="T40" i="8"/>
  <c r="N16" i="8"/>
  <c r="J26" i="8"/>
  <c r="X29" i="8"/>
  <c r="L18" i="8"/>
  <c r="Z36" i="8"/>
  <c r="AD25" i="8"/>
  <c r="T20" i="8"/>
  <c r="V27" i="8"/>
  <c r="AB32" i="8"/>
  <c r="X38" i="8"/>
  <c r="V37" i="8"/>
  <c r="P19" i="8"/>
  <c r="N36" i="8"/>
  <c r="Z32" i="8"/>
  <c r="T29" i="8"/>
  <c r="AB24" i="8"/>
  <c r="X32" i="8"/>
  <c r="T37" i="8"/>
  <c r="V38" i="8"/>
  <c r="N19" i="8"/>
  <c r="R34" i="8"/>
  <c r="P20" i="8"/>
  <c r="X35" i="8"/>
  <c r="N28" i="8"/>
  <c r="T32" i="8"/>
  <c r="P25" i="8"/>
  <c r="AD17" i="8"/>
  <c r="N33" i="8"/>
  <c r="Z19" i="8"/>
  <c r="Z38" i="8"/>
  <c r="T31" i="8"/>
  <c r="J21" i="8"/>
  <c r="V16" i="8"/>
  <c r="P38" i="8"/>
  <c r="V30" i="8"/>
  <c r="AD34" i="8"/>
  <c r="P17" i="8"/>
  <c r="AD40" i="8"/>
  <c r="X28" i="8"/>
  <c r="J29" i="8"/>
  <c r="T16" i="8"/>
  <c r="L25" i="8"/>
  <c r="AD38" i="8"/>
  <c r="Z18" i="8"/>
  <c r="L32" i="8"/>
  <c r="R29" i="8"/>
  <c r="AD18" i="8"/>
  <c r="L26" i="8"/>
  <c r="J32" i="8"/>
  <c r="Z21" i="8"/>
  <c r="AD37" i="8"/>
  <c r="AB28" i="8"/>
  <c r="AB40" i="8"/>
  <c r="X37" i="8"/>
  <c r="V31" i="8"/>
  <c r="T24" i="8"/>
  <c r="T33" i="8"/>
  <c r="AB37" i="8"/>
  <c r="T27" i="8"/>
  <c r="Z35" i="8"/>
  <c r="J20" i="8"/>
  <c r="P30" i="8"/>
  <c r="P34" i="8"/>
  <c r="P40" i="8"/>
  <c r="AD23" i="8"/>
  <c r="AB20" i="8"/>
  <c r="L19" i="8"/>
  <c r="L17" i="8"/>
  <c r="R22" i="8"/>
  <c r="V24" i="8"/>
  <c r="P28" i="8"/>
  <c r="AD31" i="8"/>
  <c r="AB39" i="8"/>
  <c r="J31" i="8"/>
  <c r="R18" i="8"/>
  <c r="Z26" i="8"/>
  <c r="L37" i="8"/>
  <c r="V33" i="8"/>
  <c r="P21" i="8"/>
  <c r="P35" i="8"/>
  <c r="P27" i="8"/>
  <c r="R23" i="8"/>
  <c r="R26" i="8"/>
  <c r="AD32" i="8"/>
  <c r="J17" i="8"/>
  <c r="J28" i="8"/>
  <c r="V25" i="8"/>
  <c r="AB36" i="8"/>
  <c r="T35" i="8"/>
  <c r="L24" i="8"/>
  <c r="V23" i="8"/>
  <c r="Z23" i="8"/>
  <c r="V40" i="8"/>
  <c r="AB26" i="8"/>
  <c r="AD22" i="8"/>
  <c r="X36" i="8"/>
  <c r="V34" i="8"/>
  <c r="P24" i="8"/>
  <c r="L34" i="8"/>
  <c r="L36" i="8"/>
  <c r="J18" i="8"/>
  <c r="R31" i="8"/>
  <c r="Z30" i="8"/>
  <c r="Z27" i="8"/>
  <c r="V17" i="8"/>
  <c r="AD30" i="8"/>
  <c r="X16" i="8"/>
  <c r="J36" i="8"/>
  <c r="T23" i="8"/>
  <c r="Z25" i="8"/>
  <c r="L16" i="8"/>
  <c r="AB34" i="8"/>
  <c r="AD35" i="8"/>
  <c r="AD28" i="8"/>
  <c r="T26" i="8"/>
  <c r="AB18" i="8"/>
  <c r="P29" i="8"/>
  <c r="P23" i="8"/>
  <c r="T30" i="8"/>
  <c r="L23" i="8"/>
  <c r="AD24" i="8"/>
  <c r="AB23" i="8"/>
  <c r="L27" i="8"/>
  <c r="V39" i="8"/>
  <c r="J34" i="8"/>
  <c r="N29" i="8"/>
  <c r="N21" i="8"/>
  <c r="R25" i="8"/>
  <c r="X39" i="8"/>
  <c r="Z40" i="8"/>
  <c r="X33" i="8"/>
  <c r="X22" i="8"/>
  <c r="AB25" i="8"/>
  <c r="R33" i="8"/>
  <c r="J27" i="8"/>
  <c r="X26" i="8"/>
  <c r="P37" i="8"/>
  <c r="R17" i="8"/>
  <c r="L33" i="8"/>
  <c r="V18" i="8"/>
  <c r="L28" i="8"/>
  <c r="AD39" i="8"/>
  <c r="J25" i="8"/>
  <c r="J38" i="8"/>
  <c r="R20" i="8"/>
  <c r="Z39" i="8"/>
  <c r="T34" i="8"/>
  <c r="R37" i="8"/>
  <c r="L30" i="8"/>
  <c r="AB27" i="8"/>
  <c r="R32" i="8"/>
  <c r="P22" i="8"/>
  <c r="Z22" i="8"/>
  <c r="P33" i="8"/>
  <c r="AD20" i="8"/>
  <c r="L22" i="8"/>
  <c r="X25" i="8"/>
  <c r="AB17" i="8"/>
  <c r="AB22" i="8"/>
  <c r="Z28" i="8"/>
  <c r="V36" i="8"/>
  <c r="J23" i="8"/>
  <c r="N18" i="8"/>
  <c r="T36" i="8"/>
  <c r="AB33" i="8"/>
  <c r="X19" i="8"/>
  <c r="R16" i="8"/>
  <c r="L20" i="8"/>
  <c r="N35" i="8"/>
  <c r="R38" i="8"/>
  <c r="X27" i="8"/>
  <c r="V19" i="8"/>
  <c r="X21" i="8"/>
  <c r="R39" i="8"/>
  <c r="T22" i="8"/>
  <c r="J24" i="8"/>
  <c r="Z34" i="8"/>
  <c r="N39" i="8"/>
  <c r="R19" i="8"/>
  <c r="AD36" i="8"/>
  <c r="X20" i="8"/>
  <c r="AD29" i="8"/>
  <c r="AB21" i="8"/>
  <c r="V29" i="8"/>
  <c r="T25" i="8"/>
  <c r="Z16" i="8"/>
  <c r="AB29" i="8"/>
  <c r="Z24" i="8"/>
  <c r="N22" i="8"/>
  <c r="Z33" i="8"/>
  <c r="N25" i="8"/>
  <c r="R21" i="8"/>
  <c r="N32" i="8"/>
  <c r="B12" i="6" l="1"/>
  <c r="J60" i="23"/>
  <c r="J62" i="23" s="1"/>
  <c r="J58" i="23"/>
  <c r="L37" i="23"/>
  <c r="L33" i="23"/>
  <c r="L7" i="23"/>
  <c r="L31" i="23"/>
  <c r="L9" i="23"/>
  <c r="L34" i="23"/>
  <c r="L24" i="23"/>
  <c r="L13" i="23"/>
  <c r="L8" i="23"/>
  <c r="L3" i="21"/>
  <c r="L28" i="23"/>
  <c r="L23" i="23"/>
  <c r="L17" i="23"/>
  <c r="L38" i="23"/>
  <c r="L27" i="23"/>
  <c r="L32" i="23"/>
  <c r="L4" i="23"/>
  <c r="L39" i="23"/>
  <c r="L30" i="23"/>
  <c r="L20" i="23"/>
  <c r="L21" i="23"/>
  <c r="L15" i="23"/>
  <c r="L12" i="23"/>
  <c r="L44" i="23"/>
  <c r="L26" i="23"/>
  <c r="L14" i="23"/>
  <c r="L36" i="23"/>
  <c r="L41" i="23"/>
  <c r="L42" i="23"/>
  <c r="L11" i="23"/>
  <c r="L5" i="23"/>
  <c r="L6" i="23"/>
  <c r="L18" i="23"/>
  <c r="L22" i="23"/>
  <c r="L40" i="23"/>
  <c r="L25" i="23"/>
  <c r="L16" i="23"/>
  <c r="L29" i="23"/>
  <c r="L35" i="23"/>
  <c r="L10" i="23"/>
  <c r="L43" i="23"/>
  <c r="L19" i="23"/>
  <c r="L47" i="23"/>
  <c r="L49" i="23"/>
  <c r="I21" i="20"/>
  <c r="J8" i="20"/>
  <c r="E3" i="21" l="1"/>
  <c r="B6" i="10"/>
  <c r="B4" i="7"/>
  <c r="B4" i="8"/>
  <c r="B4" i="6"/>
  <c r="B4" i="4"/>
  <c r="B4" i="5"/>
  <c r="L51" i="23"/>
  <c r="J21" i="20"/>
  <c r="B3" i="21" l="1"/>
  <c r="U15" i="8"/>
  <c r="S15" i="8"/>
  <c r="Q15" i="8"/>
  <c r="AE15" i="8"/>
  <c r="O15" i="8"/>
  <c r="AC15" i="8"/>
  <c r="M15" i="8"/>
  <c r="Y15" i="8"/>
  <c r="AA15" i="8"/>
  <c r="W15" i="8"/>
  <c r="K15" i="8"/>
  <c r="AC15" i="7"/>
  <c r="M15" i="7"/>
  <c r="S15" i="7"/>
  <c r="Q15" i="7"/>
  <c r="O15" i="7"/>
  <c r="AE15" i="7"/>
  <c r="K15" i="7"/>
  <c r="AA15" i="7"/>
  <c r="Y15" i="7"/>
  <c r="U15" i="7"/>
  <c r="W15" i="7"/>
  <c r="S15" i="6"/>
  <c r="Q15" i="6"/>
  <c r="O15" i="6"/>
  <c r="AE15" i="6"/>
  <c r="M15" i="6"/>
  <c r="AC15" i="6"/>
  <c r="K15" i="6"/>
  <c r="Y15" i="6"/>
  <c r="U15" i="6"/>
  <c r="AA15" i="6"/>
  <c r="W15" i="6"/>
  <c r="C6" i="11"/>
  <c r="B7" i="10"/>
  <c r="B20" i="5"/>
  <c r="U15" i="5" s="1"/>
  <c r="B24" i="5"/>
  <c r="AC15" i="5" s="1"/>
  <c r="B16" i="5"/>
  <c r="M15" i="5" s="1"/>
  <c r="B23" i="5"/>
  <c r="AA15" i="5" s="1"/>
  <c r="B19" i="5"/>
  <c r="S15" i="5" s="1"/>
  <c r="B15" i="5"/>
  <c r="K15" i="5" s="1"/>
  <c r="B22" i="5"/>
  <c r="Y15" i="5" s="1"/>
  <c r="B18" i="5"/>
  <c r="Q15" i="5" s="1"/>
  <c r="B25" i="5"/>
  <c r="AE15" i="5" s="1"/>
  <c r="B21" i="5"/>
  <c r="W15" i="5" s="1"/>
  <c r="B17" i="5"/>
  <c r="O15" i="5" s="1"/>
  <c r="B4" i="21"/>
  <c r="AE15" i="4"/>
  <c r="O15" i="4"/>
  <c r="AC15" i="4"/>
  <c r="M15" i="4"/>
  <c r="Q15" i="4"/>
  <c r="Y15" i="4"/>
  <c r="W15" i="4"/>
  <c r="U15" i="4"/>
  <c r="S15" i="4"/>
  <c r="K15" i="4"/>
  <c r="AA15" i="4"/>
  <c r="F15" i="5" l="1"/>
  <c r="F25" i="5"/>
  <c r="K16" i="8"/>
  <c r="Q16" i="8"/>
  <c r="AC16" i="8"/>
  <c r="O16" i="8"/>
  <c r="F17" i="5"/>
  <c r="F24" i="5"/>
  <c r="W16" i="8"/>
  <c r="S16" i="8"/>
  <c r="AE16" i="8"/>
  <c r="AA16" i="8"/>
  <c r="U16" i="8"/>
  <c r="F23" i="5"/>
  <c r="C7" i="11"/>
  <c r="Y16" i="8"/>
  <c r="F16" i="5"/>
  <c r="M16" i="8"/>
  <c r="F21" i="5"/>
  <c r="C4" i="21"/>
  <c r="B5" i="21"/>
  <c r="B5" i="7"/>
  <c r="B5" i="8"/>
  <c r="B9" i="8" s="1"/>
  <c r="B5" i="6"/>
  <c r="B5" i="5"/>
  <c r="B5" i="4"/>
  <c r="F18" i="5"/>
  <c r="F19" i="5"/>
  <c r="F22" i="5"/>
  <c r="F20" i="5"/>
  <c r="D239" i="11"/>
  <c r="F239" i="11" s="1"/>
  <c r="D90" i="11"/>
  <c r="F90" i="11" s="1"/>
  <c r="D145" i="11"/>
  <c r="F145" i="11" s="1"/>
  <c r="D44" i="11"/>
  <c r="F44" i="11" s="1"/>
  <c r="D43" i="11"/>
  <c r="F43" i="11" s="1"/>
  <c r="D42" i="11"/>
  <c r="F42" i="11" s="1"/>
  <c r="D50" i="11"/>
  <c r="F50" i="11" s="1"/>
  <c r="D243" i="11"/>
  <c r="F243" i="11" s="1"/>
  <c r="D246" i="11"/>
  <c r="F246" i="11" s="1"/>
  <c r="D89" i="11"/>
  <c r="D143" i="11"/>
  <c r="F143" i="11" s="1"/>
  <c r="D91" i="11"/>
  <c r="F91" i="11" s="1"/>
  <c r="D140" i="11"/>
  <c r="F140" i="11" s="1"/>
  <c r="D191" i="11"/>
  <c r="F191" i="11" s="1"/>
  <c r="D237" i="11"/>
  <c r="F237" i="11" s="1"/>
  <c r="D92" i="11"/>
  <c r="F92" i="11" s="1"/>
  <c r="D48" i="11"/>
  <c r="F48" i="11" s="1"/>
  <c r="D187" i="11"/>
  <c r="D240" i="11"/>
  <c r="F240" i="11" s="1"/>
  <c r="D47" i="11"/>
  <c r="F47" i="11" s="1"/>
  <c r="D192" i="11"/>
  <c r="F192" i="11" s="1"/>
  <c r="D244" i="11"/>
  <c r="F244" i="11" s="1"/>
  <c r="D142" i="11"/>
  <c r="F142" i="11" s="1"/>
  <c r="D99" i="11"/>
  <c r="F99" i="11" s="1"/>
  <c r="D238" i="11"/>
  <c r="F238" i="11" s="1"/>
  <c r="D40" i="11"/>
  <c r="D144" i="11"/>
  <c r="F144" i="11" s="1"/>
  <c r="D236" i="11"/>
  <c r="D242" i="11"/>
  <c r="F242" i="11" s="1"/>
  <c r="D197" i="11"/>
  <c r="F197" i="11" s="1"/>
  <c r="D147" i="11"/>
  <c r="F147" i="11" s="1"/>
  <c r="D41" i="11"/>
  <c r="F41" i="11" s="1"/>
  <c r="D194" i="11"/>
  <c r="F194" i="11" s="1"/>
  <c r="D45" i="11"/>
  <c r="F45" i="11" s="1"/>
  <c r="D148" i="11"/>
  <c r="F148" i="11" s="1"/>
  <c r="D195" i="11"/>
  <c r="F195" i="11" s="1"/>
  <c r="D49" i="11"/>
  <c r="F49" i="11" s="1"/>
  <c r="D189" i="11"/>
  <c r="F189" i="11" s="1"/>
  <c r="D193" i="11"/>
  <c r="F193" i="11" s="1"/>
  <c r="D138" i="11"/>
  <c r="D141" i="11"/>
  <c r="F141" i="11" s="1"/>
  <c r="D98" i="11"/>
  <c r="F98" i="11" s="1"/>
  <c r="D190" i="11"/>
  <c r="F190" i="11" s="1"/>
  <c r="D241" i="11"/>
  <c r="F241" i="11" s="1"/>
  <c r="D146" i="11"/>
  <c r="F146" i="11" s="1"/>
  <c r="D245" i="11"/>
  <c r="F245" i="11" s="1"/>
  <c r="D97" i="11"/>
  <c r="F97" i="11" s="1"/>
  <c r="D96" i="11"/>
  <c r="F96" i="11" s="1"/>
  <c r="D196" i="11"/>
  <c r="F196" i="11" s="1"/>
  <c r="D93" i="11"/>
  <c r="F93" i="11" s="1"/>
  <c r="D188" i="11"/>
  <c r="F188" i="11" s="1"/>
  <c r="D139" i="11"/>
  <c r="F139" i="11" s="1"/>
  <c r="D95" i="11"/>
  <c r="F95" i="11" s="1"/>
  <c r="D46" i="11"/>
  <c r="F46" i="11" s="1"/>
  <c r="D94" i="11"/>
  <c r="F94" i="11" s="1"/>
  <c r="U17" i="8" l="1"/>
  <c r="AC17" i="8"/>
  <c r="Y17" i="8"/>
  <c r="C8" i="11"/>
  <c r="O17" i="8"/>
  <c r="AA17" i="8"/>
  <c r="Q17" i="8"/>
  <c r="W17" i="8"/>
  <c r="M17" i="8"/>
  <c r="AE17" i="8"/>
  <c r="K17" i="8"/>
  <c r="S17" i="8"/>
  <c r="X40" i="6"/>
  <c r="AB39" i="6"/>
  <c r="J39" i="6"/>
  <c r="X38" i="6"/>
  <c r="P38" i="6"/>
  <c r="AD37" i="6"/>
  <c r="V37" i="6"/>
  <c r="N37" i="6"/>
  <c r="AB36" i="6"/>
  <c r="T36" i="6"/>
  <c r="L36" i="6"/>
  <c r="Z34" i="6"/>
  <c r="R34" i="6"/>
  <c r="J34" i="6"/>
  <c r="X32" i="6"/>
  <c r="P32" i="6"/>
  <c r="AD30" i="6"/>
  <c r="V30" i="6"/>
  <c r="N30" i="6"/>
  <c r="AB29" i="6"/>
  <c r="T29" i="6"/>
  <c r="L29" i="6"/>
  <c r="Z28" i="6"/>
  <c r="R28" i="6"/>
  <c r="J28" i="6"/>
  <c r="X27" i="6"/>
  <c r="P27" i="6"/>
  <c r="AD26" i="6"/>
  <c r="V26" i="6"/>
  <c r="N26" i="6"/>
  <c r="AB25" i="6"/>
  <c r="T25" i="6"/>
  <c r="N40" i="6"/>
  <c r="R39" i="6"/>
  <c r="Z35" i="6"/>
  <c r="R35" i="6"/>
  <c r="J35" i="6"/>
  <c r="X33" i="6"/>
  <c r="P33" i="6"/>
  <c r="AD31" i="6"/>
  <c r="V31" i="6"/>
  <c r="N31" i="6"/>
  <c r="V40" i="6"/>
  <c r="Z39" i="6"/>
  <c r="AD38" i="6"/>
  <c r="V38" i="6"/>
  <c r="AD40" i="6"/>
  <c r="L40" i="6"/>
  <c r="P39" i="6"/>
  <c r="X35" i="6"/>
  <c r="P35" i="6"/>
  <c r="AD33" i="6"/>
  <c r="V33" i="6"/>
  <c r="N33" i="6"/>
  <c r="AB31" i="6"/>
  <c r="T31" i="6"/>
  <c r="L31" i="6"/>
  <c r="AD24" i="6"/>
  <c r="V24" i="6"/>
  <c r="N24" i="6"/>
  <c r="X22" i="6"/>
  <c r="P22" i="6"/>
  <c r="Z20" i="6"/>
  <c r="R20" i="6"/>
  <c r="J20" i="6"/>
  <c r="AB18" i="6"/>
  <c r="T18" i="6"/>
  <c r="L18" i="6"/>
  <c r="T40" i="6"/>
  <c r="X39" i="6"/>
  <c r="N39" i="6"/>
  <c r="AB38" i="6"/>
  <c r="T38" i="6"/>
  <c r="L38" i="6"/>
  <c r="Z37" i="6"/>
  <c r="R37" i="6"/>
  <c r="J37" i="6"/>
  <c r="X36" i="6"/>
  <c r="P36" i="6"/>
  <c r="AD34" i="6"/>
  <c r="V34" i="6"/>
  <c r="N34" i="6"/>
  <c r="AB32" i="6"/>
  <c r="T32" i="6"/>
  <c r="L32" i="6"/>
  <c r="Z30" i="6"/>
  <c r="R30" i="6"/>
  <c r="J30" i="6"/>
  <c r="X29" i="6"/>
  <c r="P29" i="6"/>
  <c r="AD28" i="6"/>
  <c r="V28" i="6"/>
  <c r="N28" i="6"/>
  <c r="AB27" i="6"/>
  <c r="T27" i="6"/>
  <c r="L27" i="6"/>
  <c r="Z26" i="6"/>
  <c r="R26" i="6"/>
  <c r="J26" i="6"/>
  <c r="X25" i="6"/>
  <c r="P25" i="6"/>
  <c r="Z23" i="6"/>
  <c r="R23" i="6"/>
  <c r="J23" i="6"/>
  <c r="AB21" i="6"/>
  <c r="T21" i="6"/>
  <c r="L21" i="6"/>
  <c r="AD19" i="6"/>
  <c r="V19" i="6"/>
  <c r="N19" i="6"/>
  <c r="AB40" i="6"/>
  <c r="J40" i="6"/>
  <c r="V39" i="6"/>
  <c r="AD35" i="6"/>
  <c r="V35" i="6"/>
  <c r="N35" i="6"/>
  <c r="AB33" i="6"/>
  <c r="T33" i="6"/>
  <c r="L33" i="6"/>
  <c r="Z31" i="6"/>
  <c r="R31" i="6"/>
  <c r="J31" i="6"/>
  <c r="AB24" i="6"/>
  <c r="T24" i="6"/>
  <c r="L24" i="6"/>
  <c r="AD22" i="6"/>
  <c r="V22" i="6"/>
  <c r="N22" i="6"/>
  <c r="X20" i="6"/>
  <c r="P20" i="6"/>
  <c r="Z18" i="6"/>
  <c r="R18" i="6"/>
  <c r="J18" i="6"/>
  <c r="AB16" i="6"/>
  <c r="AC16" i="6" s="1"/>
  <c r="T16" i="6"/>
  <c r="U16" i="6" s="1"/>
  <c r="L16" i="6"/>
  <c r="M16" i="6" s="1"/>
  <c r="L39" i="6"/>
  <c r="AD36" i="6"/>
  <c r="J36" i="6"/>
  <c r="L35" i="6"/>
  <c r="L34" i="6"/>
  <c r="T30" i="6"/>
  <c r="T28" i="6"/>
  <c r="V27" i="6"/>
  <c r="V25" i="6"/>
  <c r="X23" i="6"/>
  <c r="AB22" i="6"/>
  <c r="R21" i="6"/>
  <c r="L20" i="6"/>
  <c r="P19" i="6"/>
  <c r="V18" i="6"/>
  <c r="AD17" i="6"/>
  <c r="L17" i="6"/>
  <c r="N16" i="6"/>
  <c r="O16" i="6" s="1"/>
  <c r="Z40" i="6"/>
  <c r="AB37" i="6"/>
  <c r="N32" i="6"/>
  <c r="P31" i="6"/>
  <c r="P30" i="6"/>
  <c r="R29" i="6"/>
  <c r="R27" i="6"/>
  <c r="T26" i="6"/>
  <c r="R24" i="6"/>
  <c r="L23" i="6"/>
  <c r="V20" i="6"/>
  <c r="Z19" i="6"/>
  <c r="L19" i="6"/>
  <c r="T17" i="6"/>
  <c r="V16" i="6"/>
  <c r="W16" i="6" s="1"/>
  <c r="R40" i="6"/>
  <c r="Z38" i="6"/>
  <c r="X37" i="6"/>
  <c r="Z36" i="6"/>
  <c r="AB35" i="6"/>
  <c r="AB34" i="6"/>
  <c r="J33" i="6"/>
  <c r="J32" i="6"/>
  <c r="N29" i="6"/>
  <c r="P28" i="6"/>
  <c r="P26" i="6"/>
  <c r="R25" i="6"/>
  <c r="V23" i="6"/>
  <c r="Z22" i="6"/>
  <c r="L22" i="6"/>
  <c r="AD21" i="6"/>
  <c r="P21" i="6"/>
  <c r="AD18" i="6"/>
  <c r="AB17" i="6"/>
  <c r="J17" i="6"/>
  <c r="AD16" i="6"/>
  <c r="AE16" i="6" s="1"/>
  <c r="P40" i="6"/>
  <c r="V36" i="6"/>
  <c r="AD32" i="6"/>
  <c r="L30" i="6"/>
  <c r="L28" i="6"/>
  <c r="N27" i="6"/>
  <c r="N25" i="6"/>
  <c r="P24" i="6"/>
  <c r="Z21" i="6"/>
  <c r="T20" i="6"/>
  <c r="X19" i="6"/>
  <c r="J19" i="6"/>
  <c r="R17" i="6"/>
  <c r="J16" i="6"/>
  <c r="K16" i="6" s="1"/>
  <c r="P37" i="6"/>
  <c r="R36" i="6"/>
  <c r="T35" i="6"/>
  <c r="T34" i="6"/>
  <c r="AB30" i="6"/>
  <c r="AB28" i="6"/>
  <c r="AD27" i="6"/>
  <c r="AD25" i="6"/>
  <c r="L25" i="6"/>
  <c r="AD23" i="6"/>
  <c r="P23" i="6"/>
  <c r="T22" i="6"/>
  <c r="X21" i="6"/>
  <c r="J21" i="6"/>
  <c r="P17" i="6"/>
  <c r="Z16" i="6"/>
  <c r="AA16" i="6" s="1"/>
  <c r="T39" i="6"/>
  <c r="J38" i="6"/>
  <c r="L37" i="6"/>
  <c r="P34" i="6"/>
  <c r="R33" i="6"/>
  <c r="R32" i="6"/>
  <c r="V29" i="6"/>
  <c r="X28" i="6"/>
  <c r="X26" i="6"/>
  <c r="Z25" i="6"/>
  <c r="AB23" i="6"/>
  <c r="N23" i="6"/>
  <c r="R22" i="6"/>
  <c r="V21" i="6"/>
  <c r="AB19" i="6"/>
  <c r="V17" i="6"/>
  <c r="X16" i="6"/>
  <c r="Y16" i="6" s="1"/>
  <c r="N36" i="6"/>
  <c r="V32" i="6"/>
  <c r="J25" i="6"/>
  <c r="J22" i="6"/>
  <c r="AD20" i="6"/>
  <c r="AD39" i="6"/>
  <c r="T23" i="6"/>
  <c r="AB20" i="6"/>
  <c r="X31" i="6"/>
  <c r="Z27" i="6"/>
  <c r="Z24" i="6"/>
  <c r="Z17" i="6"/>
  <c r="R38" i="6"/>
  <c r="X34" i="6"/>
  <c r="J27" i="6"/>
  <c r="X24" i="6"/>
  <c r="N20" i="6"/>
  <c r="X17" i="6"/>
  <c r="R16" i="6"/>
  <c r="S16" i="6" s="1"/>
  <c r="N38" i="6"/>
  <c r="X30" i="6"/>
  <c r="AB26" i="6"/>
  <c r="X18" i="6"/>
  <c r="P16" i="6"/>
  <c r="Q16" i="6" s="1"/>
  <c r="Z32" i="6"/>
  <c r="J29" i="6"/>
  <c r="R19" i="6"/>
  <c r="T37" i="6"/>
  <c r="J24" i="6"/>
  <c r="N21" i="6"/>
  <c r="P18" i="6"/>
  <c r="N17" i="6"/>
  <c r="Z33" i="6"/>
  <c r="N18" i="6"/>
  <c r="Z29" i="6"/>
  <c r="L26" i="6"/>
  <c r="T19" i="6"/>
  <c r="AD29" i="6"/>
  <c r="C23" i="6"/>
  <c r="C24" i="6"/>
  <c r="C18" i="6"/>
  <c r="C16" i="6"/>
  <c r="C15" i="6"/>
  <c r="C25" i="6"/>
  <c r="B35" i="6" s="1"/>
  <c r="C20" i="6"/>
  <c r="C22" i="6"/>
  <c r="C17" i="6"/>
  <c r="C19" i="6"/>
  <c r="C21" i="6"/>
  <c r="B9" i="6"/>
  <c r="AB40" i="5"/>
  <c r="T40" i="5"/>
  <c r="L40" i="5"/>
  <c r="Z39" i="5"/>
  <c r="R39" i="5"/>
  <c r="J39" i="5"/>
  <c r="X38" i="5"/>
  <c r="P38" i="5"/>
  <c r="AD37" i="5"/>
  <c r="V37" i="5"/>
  <c r="N37" i="5"/>
  <c r="AB36" i="5"/>
  <c r="X40" i="5"/>
  <c r="AB39" i="5"/>
  <c r="V38" i="5"/>
  <c r="Z37" i="5"/>
  <c r="AD36" i="5"/>
  <c r="AB35" i="5"/>
  <c r="T35" i="5"/>
  <c r="L35" i="5"/>
  <c r="Z33" i="5"/>
  <c r="R33" i="5"/>
  <c r="J33" i="5"/>
  <c r="N40" i="5"/>
  <c r="AD38" i="5"/>
  <c r="L38" i="5"/>
  <c r="V40" i="5"/>
  <c r="P39" i="5"/>
  <c r="T38" i="5"/>
  <c r="X37" i="5"/>
  <c r="Z35" i="5"/>
  <c r="R35" i="5"/>
  <c r="J35" i="5"/>
  <c r="X33" i="5"/>
  <c r="P33" i="5"/>
  <c r="AD31" i="5"/>
  <c r="V31" i="5"/>
  <c r="N31" i="5"/>
  <c r="AD40" i="5"/>
  <c r="X39" i="5"/>
  <c r="AB38" i="5"/>
  <c r="J38" i="5"/>
  <c r="Z36" i="5"/>
  <c r="R36" i="5"/>
  <c r="J36" i="5"/>
  <c r="X34" i="5"/>
  <c r="P34" i="5"/>
  <c r="AD32" i="5"/>
  <c r="V32" i="5"/>
  <c r="N32" i="5"/>
  <c r="AB30" i="5"/>
  <c r="T30" i="5"/>
  <c r="L30" i="5"/>
  <c r="Z29" i="5"/>
  <c r="R29" i="5"/>
  <c r="J29" i="5"/>
  <c r="X28" i="5"/>
  <c r="P28" i="5"/>
  <c r="AD27" i="5"/>
  <c r="V27" i="5"/>
  <c r="N27" i="5"/>
  <c r="AB26" i="5"/>
  <c r="T26" i="5"/>
  <c r="L26" i="5"/>
  <c r="Z25" i="5"/>
  <c r="R25" i="5"/>
  <c r="J25" i="5"/>
  <c r="AB23" i="5"/>
  <c r="T23" i="5"/>
  <c r="L23" i="5"/>
  <c r="AD21" i="5"/>
  <c r="V21" i="5"/>
  <c r="N21" i="5"/>
  <c r="X19" i="5"/>
  <c r="P19" i="5"/>
  <c r="Z17" i="5"/>
  <c r="R17" i="5"/>
  <c r="J17" i="5"/>
  <c r="R40" i="5"/>
  <c r="V39" i="5"/>
  <c r="Z38" i="5"/>
  <c r="T37" i="5"/>
  <c r="X36" i="5"/>
  <c r="P36" i="5"/>
  <c r="AD34" i="5"/>
  <c r="V34" i="5"/>
  <c r="N34" i="5"/>
  <c r="AB32" i="5"/>
  <c r="T32" i="5"/>
  <c r="L32" i="5"/>
  <c r="Z30" i="5"/>
  <c r="R30" i="5"/>
  <c r="J30" i="5"/>
  <c r="X29" i="5"/>
  <c r="P29" i="5"/>
  <c r="AD28" i="5"/>
  <c r="V28" i="5"/>
  <c r="N28" i="5"/>
  <c r="AB27" i="5"/>
  <c r="T27" i="5"/>
  <c r="L27" i="5"/>
  <c r="Z26" i="5"/>
  <c r="R26" i="5"/>
  <c r="J26" i="5"/>
  <c r="X25" i="5"/>
  <c r="P25" i="5"/>
  <c r="P40" i="5"/>
  <c r="T39" i="5"/>
  <c r="N38" i="5"/>
  <c r="R37" i="5"/>
  <c r="V36" i="5"/>
  <c r="N36" i="5"/>
  <c r="AB34" i="5"/>
  <c r="T34" i="5"/>
  <c r="L34" i="5"/>
  <c r="Z32" i="5"/>
  <c r="R32" i="5"/>
  <c r="J32" i="5"/>
  <c r="X30" i="5"/>
  <c r="P30" i="5"/>
  <c r="AD29" i="5"/>
  <c r="V29" i="5"/>
  <c r="N29" i="5"/>
  <c r="AB28" i="5"/>
  <c r="T28" i="5"/>
  <c r="L28" i="5"/>
  <c r="Z27" i="5"/>
  <c r="R27" i="5"/>
  <c r="J27" i="5"/>
  <c r="X26" i="5"/>
  <c r="P26" i="5"/>
  <c r="AD25" i="5"/>
  <c r="V25" i="5"/>
  <c r="N25" i="5"/>
  <c r="X23" i="5"/>
  <c r="P23" i="5"/>
  <c r="Z21" i="5"/>
  <c r="R21" i="5"/>
  <c r="J21" i="5"/>
  <c r="AB19" i="5"/>
  <c r="T19" i="5"/>
  <c r="L19" i="5"/>
  <c r="AD17" i="5"/>
  <c r="V17" i="5"/>
  <c r="N17" i="5"/>
  <c r="AD39" i="5"/>
  <c r="J37" i="5"/>
  <c r="N33" i="5"/>
  <c r="P32" i="5"/>
  <c r="AD30" i="5"/>
  <c r="N30" i="5"/>
  <c r="T29" i="5"/>
  <c r="Z28" i="5"/>
  <c r="J28" i="5"/>
  <c r="P27" i="5"/>
  <c r="V26" i="5"/>
  <c r="AB25" i="5"/>
  <c r="L25" i="5"/>
  <c r="AB24" i="5"/>
  <c r="N23" i="5"/>
  <c r="V22" i="5"/>
  <c r="T21" i="5"/>
  <c r="AB20" i="5"/>
  <c r="N19" i="5"/>
  <c r="V18" i="5"/>
  <c r="T17" i="5"/>
  <c r="AB16" i="5"/>
  <c r="AC16" i="5" s="1"/>
  <c r="AD35" i="5"/>
  <c r="J34" i="5"/>
  <c r="L33" i="5"/>
  <c r="T31" i="5"/>
  <c r="Z24" i="5"/>
  <c r="P24" i="5"/>
  <c r="T22" i="5"/>
  <c r="J22" i="5"/>
  <c r="Z20" i="5"/>
  <c r="P20" i="5"/>
  <c r="T18" i="5"/>
  <c r="J18" i="5"/>
  <c r="Z16" i="5"/>
  <c r="AA16" i="5" s="1"/>
  <c r="P16" i="5"/>
  <c r="Q16" i="5" s="1"/>
  <c r="AB37" i="5"/>
  <c r="AD33" i="5"/>
  <c r="R31" i="5"/>
  <c r="N24" i="5"/>
  <c r="C24" i="5"/>
  <c r="V23" i="5"/>
  <c r="AD22" i="5"/>
  <c r="AB21" i="5"/>
  <c r="N20" i="5"/>
  <c r="C20" i="5"/>
  <c r="V19" i="5"/>
  <c r="AD18" i="5"/>
  <c r="AB17" i="5"/>
  <c r="N16" i="5"/>
  <c r="O16" i="5" s="1"/>
  <c r="C16" i="5"/>
  <c r="N39" i="5"/>
  <c r="X35" i="5"/>
  <c r="Z34" i="5"/>
  <c r="AB33" i="5"/>
  <c r="P31" i="5"/>
  <c r="X24" i="5"/>
  <c r="J23" i="5"/>
  <c r="AB22" i="5"/>
  <c r="R22" i="5"/>
  <c r="P21" i="5"/>
  <c r="X20" i="5"/>
  <c r="J19" i="5"/>
  <c r="AB18" i="5"/>
  <c r="R18" i="5"/>
  <c r="P17" i="5"/>
  <c r="X16" i="5"/>
  <c r="Y16" i="5" s="1"/>
  <c r="Z40" i="5"/>
  <c r="L39" i="5"/>
  <c r="T36" i="5"/>
  <c r="V35" i="5"/>
  <c r="V30" i="5"/>
  <c r="AB29" i="5"/>
  <c r="L29" i="5"/>
  <c r="R28" i="5"/>
  <c r="X27" i="5"/>
  <c r="AD26" i="5"/>
  <c r="N26" i="5"/>
  <c r="T25" i="5"/>
  <c r="V24" i="5"/>
  <c r="L24" i="5"/>
  <c r="AD23" i="5"/>
  <c r="P22" i="5"/>
  <c r="V20" i="5"/>
  <c r="L20" i="5"/>
  <c r="AD19" i="5"/>
  <c r="P18" i="5"/>
  <c r="V16" i="5"/>
  <c r="W16" i="5" s="1"/>
  <c r="L16" i="5"/>
  <c r="M16" i="5" s="1"/>
  <c r="J40" i="5"/>
  <c r="R38" i="5"/>
  <c r="L37" i="5"/>
  <c r="L36" i="5"/>
  <c r="N35" i="5"/>
  <c r="X31" i="5"/>
  <c r="AD24" i="5"/>
  <c r="R24" i="5"/>
  <c r="Z23" i="5"/>
  <c r="L22" i="5"/>
  <c r="R20" i="5"/>
  <c r="Z19" i="5"/>
  <c r="L18" i="5"/>
  <c r="R16" i="5"/>
  <c r="S16" i="5" s="1"/>
  <c r="V33" i="5"/>
  <c r="J31" i="5"/>
  <c r="Z22" i="5"/>
  <c r="J16" i="5"/>
  <c r="K16" i="5" s="1"/>
  <c r="P37" i="5"/>
  <c r="T33" i="5"/>
  <c r="X22" i="5"/>
  <c r="L21" i="5"/>
  <c r="Z18" i="5"/>
  <c r="L31" i="5"/>
  <c r="X32" i="5"/>
  <c r="C25" i="5"/>
  <c r="B35" i="5" s="1"/>
  <c r="X18" i="5"/>
  <c r="L17" i="5"/>
  <c r="Z31" i="5"/>
  <c r="R23" i="5"/>
  <c r="N22" i="5"/>
  <c r="P35" i="5"/>
  <c r="T24" i="5"/>
  <c r="C22" i="5"/>
  <c r="J24" i="5"/>
  <c r="X21" i="5"/>
  <c r="T20" i="5"/>
  <c r="C18" i="5"/>
  <c r="AD20" i="5"/>
  <c r="R19" i="5"/>
  <c r="N18" i="5"/>
  <c r="X17" i="5"/>
  <c r="AB31" i="5"/>
  <c r="AD16" i="5"/>
  <c r="AE16" i="5" s="1"/>
  <c r="T16" i="5"/>
  <c r="U16" i="5" s="1"/>
  <c r="R34" i="5"/>
  <c r="J20" i="5"/>
  <c r="C17" i="5"/>
  <c r="C19" i="5"/>
  <c r="C21" i="5"/>
  <c r="C15" i="5"/>
  <c r="C23" i="5"/>
  <c r="B9" i="5"/>
  <c r="AB40" i="7"/>
  <c r="T40" i="7"/>
  <c r="L40" i="7"/>
  <c r="Z39" i="7"/>
  <c r="R39" i="7"/>
  <c r="J39" i="7"/>
  <c r="X38" i="7"/>
  <c r="P38" i="7"/>
  <c r="AD37" i="7"/>
  <c r="V37" i="7"/>
  <c r="N37" i="7"/>
  <c r="AB36" i="7"/>
  <c r="T36" i="7"/>
  <c r="L36" i="7"/>
  <c r="Z34" i="7"/>
  <c r="R34" i="7"/>
  <c r="J34" i="7"/>
  <c r="X32" i="7"/>
  <c r="P32" i="7"/>
  <c r="AD30" i="7"/>
  <c r="V30" i="7"/>
  <c r="N30" i="7"/>
  <c r="AB29" i="7"/>
  <c r="T29" i="7"/>
  <c r="L29" i="7"/>
  <c r="Z28" i="7"/>
  <c r="R28" i="7"/>
  <c r="J28" i="7"/>
  <c r="X27" i="7"/>
  <c r="P27" i="7"/>
  <c r="AD26" i="7"/>
  <c r="V26" i="7"/>
  <c r="N26" i="7"/>
  <c r="AB25" i="7"/>
  <c r="T25" i="7"/>
  <c r="L25" i="7"/>
  <c r="AD23" i="7"/>
  <c r="V23" i="7"/>
  <c r="N23" i="7"/>
  <c r="X21" i="7"/>
  <c r="P21" i="7"/>
  <c r="Z19" i="7"/>
  <c r="R19" i="7"/>
  <c r="J19" i="7"/>
  <c r="AB17" i="7"/>
  <c r="T17" i="7"/>
  <c r="L17" i="7"/>
  <c r="Z40" i="7"/>
  <c r="R40" i="7"/>
  <c r="J40" i="7"/>
  <c r="X39" i="7"/>
  <c r="P39" i="7"/>
  <c r="AD38" i="7"/>
  <c r="V38" i="7"/>
  <c r="N38" i="7"/>
  <c r="AB37" i="7"/>
  <c r="T37" i="7"/>
  <c r="L37" i="7"/>
  <c r="Z36" i="7"/>
  <c r="R36" i="7"/>
  <c r="J36" i="7"/>
  <c r="X34" i="7"/>
  <c r="P34" i="7"/>
  <c r="AD32" i="7"/>
  <c r="V32" i="7"/>
  <c r="N32" i="7"/>
  <c r="AB30" i="7"/>
  <c r="T30" i="7"/>
  <c r="L30" i="7"/>
  <c r="Z29" i="7"/>
  <c r="R29" i="7"/>
  <c r="J29" i="7"/>
  <c r="X28" i="7"/>
  <c r="P28" i="7"/>
  <c r="AD27" i="7"/>
  <c r="V27" i="7"/>
  <c r="N27" i="7"/>
  <c r="AB26" i="7"/>
  <c r="T26" i="7"/>
  <c r="L26" i="7"/>
  <c r="Z25" i="7"/>
  <c r="R25" i="7"/>
  <c r="J25" i="7"/>
  <c r="AB23" i="7"/>
  <c r="T23" i="7"/>
  <c r="L23" i="7"/>
  <c r="P40" i="7"/>
  <c r="V39" i="7"/>
  <c r="AB38" i="7"/>
  <c r="X37" i="7"/>
  <c r="J37" i="7"/>
  <c r="J35" i="7"/>
  <c r="V34" i="7"/>
  <c r="L34" i="7"/>
  <c r="X33" i="7"/>
  <c r="Z32" i="7"/>
  <c r="R30" i="7"/>
  <c r="AD29" i="7"/>
  <c r="AD28" i="7"/>
  <c r="T28" i="7"/>
  <c r="T27" i="7"/>
  <c r="J27" i="7"/>
  <c r="J26" i="7"/>
  <c r="V25" i="7"/>
  <c r="Z23" i="7"/>
  <c r="P23" i="7"/>
  <c r="N21" i="7"/>
  <c r="P20" i="7"/>
  <c r="AB19" i="7"/>
  <c r="T18" i="7"/>
  <c r="V17" i="7"/>
  <c r="N16" i="7"/>
  <c r="O16" i="7" s="1"/>
  <c r="L38" i="7"/>
  <c r="AD35" i="7"/>
  <c r="T35" i="7"/>
  <c r="V33" i="7"/>
  <c r="L33" i="7"/>
  <c r="Z31" i="7"/>
  <c r="P31" i="7"/>
  <c r="AB24" i="7"/>
  <c r="R24" i="7"/>
  <c r="V22" i="7"/>
  <c r="L22" i="7"/>
  <c r="V21" i="7"/>
  <c r="X20" i="7"/>
  <c r="AB18" i="7"/>
  <c r="J18" i="7"/>
  <c r="AD17" i="7"/>
  <c r="V16" i="7"/>
  <c r="W16" i="7" s="1"/>
  <c r="N40" i="7"/>
  <c r="T39" i="7"/>
  <c r="Z38" i="7"/>
  <c r="AD36" i="7"/>
  <c r="P36" i="7"/>
  <c r="R35" i="7"/>
  <c r="AD34" i="7"/>
  <c r="T34" i="7"/>
  <c r="L32" i="7"/>
  <c r="N31" i="7"/>
  <c r="Z30" i="7"/>
  <c r="P30" i="7"/>
  <c r="P29" i="7"/>
  <c r="AB28" i="7"/>
  <c r="AB27" i="7"/>
  <c r="R27" i="7"/>
  <c r="R26" i="7"/>
  <c r="AD25" i="7"/>
  <c r="P24" i="7"/>
  <c r="X23" i="7"/>
  <c r="J22" i="7"/>
  <c r="AD21" i="7"/>
  <c r="L21" i="7"/>
  <c r="N20" i="7"/>
  <c r="P19" i="7"/>
  <c r="R18" i="7"/>
  <c r="J17" i="7"/>
  <c r="AD16" i="7"/>
  <c r="AE16" i="7" s="1"/>
  <c r="L16" i="7"/>
  <c r="M16" i="7" s="1"/>
  <c r="AD40" i="7"/>
  <c r="J38" i="7"/>
  <c r="R37" i="7"/>
  <c r="AB35" i="7"/>
  <c r="P35" i="7"/>
  <c r="AD33" i="7"/>
  <c r="T33" i="7"/>
  <c r="J33" i="7"/>
  <c r="X31" i="7"/>
  <c r="L31" i="7"/>
  <c r="Z24" i="7"/>
  <c r="N24" i="7"/>
  <c r="AD22" i="7"/>
  <c r="T22" i="7"/>
  <c r="T21" i="7"/>
  <c r="V20" i="7"/>
  <c r="L20" i="7"/>
  <c r="X19" i="7"/>
  <c r="Z18" i="7"/>
  <c r="R17" i="7"/>
  <c r="T16" i="7"/>
  <c r="U16" i="7" s="1"/>
  <c r="AD39" i="7"/>
  <c r="N39" i="7"/>
  <c r="T38" i="7"/>
  <c r="N36" i="7"/>
  <c r="Z35" i="7"/>
  <c r="AB34" i="7"/>
  <c r="T32" i="7"/>
  <c r="J32" i="7"/>
  <c r="V31" i="7"/>
  <c r="X30" i="7"/>
  <c r="X29" i="7"/>
  <c r="N29" i="7"/>
  <c r="N28" i="7"/>
  <c r="Z27" i="7"/>
  <c r="Z26" i="7"/>
  <c r="P26" i="7"/>
  <c r="P25" i="7"/>
  <c r="X24" i="7"/>
  <c r="J23" i="7"/>
  <c r="R22" i="7"/>
  <c r="AB21" i="7"/>
  <c r="J21" i="7"/>
  <c r="AD20" i="7"/>
  <c r="T20" i="7"/>
  <c r="N19" i="7"/>
  <c r="P18" i="7"/>
  <c r="Z17" i="7"/>
  <c r="AB16" i="7"/>
  <c r="AC16" i="7" s="1"/>
  <c r="J16" i="7"/>
  <c r="K16" i="7" s="1"/>
  <c r="X40" i="7"/>
  <c r="P37" i="7"/>
  <c r="X36" i="7"/>
  <c r="X35" i="7"/>
  <c r="N35" i="7"/>
  <c r="AB33" i="7"/>
  <c r="R33" i="7"/>
  <c r="T31" i="7"/>
  <c r="J31" i="7"/>
  <c r="V24" i="7"/>
  <c r="L24" i="7"/>
  <c r="AB22" i="7"/>
  <c r="P22" i="7"/>
  <c r="R21" i="7"/>
  <c r="AB20" i="7"/>
  <c r="J20" i="7"/>
  <c r="V19" i="7"/>
  <c r="X18" i="7"/>
  <c r="N18" i="7"/>
  <c r="P17" i="7"/>
  <c r="R16" i="7"/>
  <c r="S16" i="7" s="1"/>
  <c r="V36" i="7"/>
  <c r="V35" i="7"/>
  <c r="L35" i="7"/>
  <c r="Z33" i="7"/>
  <c r="N33" i="7"/>
  <c r="AB31" i="7"/>
  <c r="R31" i="7"/>
  <c r="Z37" i="7"/>
  <c r="J30" i="7"/>
  <c r="L27" i="7"/>
  <c r="N25" i="7"/>
  <c r="Z21" i="7"/>
  <c r="V18" i="7"/>
  <c r="P16" i="7"/>
  <c r="Q16" i="7" s="1"/>
  <c r="P33" i="7"/>
  <c r="V29" i="7"/>
  <c r="J24" i="7"/>
  <c r="Z20" i="7"/>
  <c r="AB32" i="7"/>
  <c r="X26" i="7"/>
  <c r="Z22" i="7"/>
  <c r="R20" i="7"/>
  <c r="T19" i="7"/>
  <c r="N17" i="7"/>
  <c r="R32" i="7"/>
  <c r="V28" i="7"/>
  <c r="X22" i="7"/>
  <c r="L19" i="7"/>
  <c r="L18" i="7"/>
  <c r="AB39" i="7"/>
  <c r="AD24" i="7"/>
  <c r="R23" i="7"/>
  <c r="N22" i="7"/>
  <c r="R38" i="7"/>
  <c r="N34" i="7"/>
  <c r="T24" i="7"/>
  <c r="AD19" i="7"/>
  <c r="AD18" i="7"/>
  <c r="X17" i="7"/>
  <c r="X16" i="7"/>
  <c r="Y16" i="7" s="1"/>
  <c r="V40" i="7"/>
  <c r="L39" i="7"/>
  <c r="X25" i="7"/>
  <c r="L28" i="7"/>
  <c r="AD31" i="7"/>
  <c r="Z16" i="7"/>
  <c r="AA16" i="7" s="1"/>
  <c r="C16" i="7"/>
  <c r="C21" i="7"/>
  <c r="C15" i="7"/>
  <c r="C24" i="7"/>
  <c r="C25" i="7"/>
  <c r="B35" i="7" s="1"/>
  <c r="C20" i="7"/>
  <c r="G8" i="9" s="1"/>
  <c r="C17" i="7"/>
  <c r="C19" i="7"/>
  <c r="C23" i="7"/>
  <c r="C18" i="7"/>
  <c r="C22" i="7"/>
  <c r="B9" i="7"/>
  <c r="C5" i="21"/>
  <c r="B6" i="21"/>
  <c r="L4" i="21"/>
  <c r="E4" i="21"/>
  <c r="D4" i="21"/>
  <c r="AB35" i="4"/>
  <c r="T35" i="4"/>
  <c r="L35" i="4"/>
  <c r="Z33" i="4"/>
  <c r="R33" i="4"/>
  <c r="J33" i="4"/>
  <c r="X31" i="4"/>
  <c r="P31" i="4"/>
  <c r="X35" i="4"/>
  <c r="P35" i="4"/>
  <c r="AD33" i="4"/>
  <c r="V33" i="4"/>
  <c r="N33" i="4"/>
  <c r="AB31" i="4"/>
  <c r="T31" i="4"/>
  <c r="L31" i="4"/>
  <c r="AD40" i="4"/>
  <c r="AD39" i="4"/>
  <c r="T39" i="4"/>
  <c r="T38" i="4"/>
  <c r="J38" i="4"/>
  <c r="J37" i="4"/>
  <c r="V36" i="4"/>
  <c r="N34" i="4"/>
  <c r="P33" i="4"/>
  <c r="AB32" i="4"/>
  <c r="R32" i="4"/>
  <c r="AD31" i="4"/>
  <c r="J30" i="4"/>
  <c r="V29" i="4"/>
  <c r="V28" i="4"/>
  <c r="B15" i="4"/>
  <c r="AB40" i="4"/>
  <c r="R40" i="4"/>
  <c r="R39" i="4"/>
  <c r="AD38" i="4"/>
  <c r="AD37" i="4"/>
  <c r="T37" i="4"/>
  <c r="T36" i="4"/>
  <c r="J36" i="4"/>
  <c r="V35" i="4"/>
  <c r="X34" i="4"/>
  <c r="P32" i="4"/>
  <c r="R31" i="4"/>
  <c r="AD30" i="4"/>
  <c r="T30" i="4"/>
  <c r="T29" i="4"/>
  <c r="J29" i="4"/>
  <c r="L28" i="4"/>
  <c r="Z27" i="4"/>
  <c r="R27" i="4"/>
  <c r="J27" i="4"/>
  <c r="X26" i="4"/>
  <c r="P26" i="4"/>
  <c r="AD25" i="4"/>
  <c r="V25" i="4"/>
  <c r="N25" i="4"/>
  <c r="Z24" i="4"/>
  <c r="R24" i="4"/>
  <c r="J24" i="4"/>
  <c r="AD23" i="4"/>
  <c r="V23" i="4"/>
  <c r="N23" i="4"/>
  <c r="Z22" i="4"/>
  <c r="R22" i="4"/>
  <c r="J22" i="4"/>
  <c r="AD21" i="4"/>
  <c r="V21" i="4"/>
  <c r="N21" i="4"/>
  <c r="Z20" i="4"/>
  <c r="R20" i="4"/>
  <c r="J20" i="4"/>
  <c r="AD19" i="4"/>
  <c r="V19" i="4"/>
  <c r="N19" i="4"/>
  <c r="Z18" i="4"/>
  <c r="R18" i="4"/>
  <c r="J18" i="4"/>
  <c r="AD17" i="4"/>
  <c r="V17" i="4"/>
  <c r="N17" i="4"/>
  <c r="Z16" i="4"/>
  <c r="AA16" i="4" s="1"/>
  <c r="R16" i="4"/>
  <c r="S16" i="4" s="1"/>
  <c r="J16" i="4"/>
  <c r="K16" i="4" s="1"/>
  <c r="P40" i="4"/>
  <c r="AB39" i="4"/>
  <c r="AB38" i="4"/>
  <c r="R38" i="4"/>
  <c r="R37" i="4"/>
  <c r="AD36" i="4"/>
  <c r="J35" i="4"/>
  <c r="V34" i="4"/>
  <c r="L34" i="4"/>
  <c r="X33" i="4"/>
  <c r="Z32" i="4"/>
  <c r="R30" i="4"/>
  <c r="AD29" i="4"/>
  <c r="AD28" i="4"/>
  <c r="T28" i="4"/>
  <c r="Z40" i="4"/>
  <c r="Z39" i="4"/>
  <c r="P39" i="4"/>
  <c r="P38" i="4"/>
  <c r="AB37" i="4"/>
  <c r="AB36" i="4"/>
  <c r="R36" i="4"/>
  <c r="AD35" i="4"/>
  <c r="J34" i="4"/>
  <c r="L33" i="4"/>
  <c r="X32" i="4"/>
  <c r="N32" i="4"/>
  <c r="Z31" i="4"/>
  <c r="AB30" i="4"/>
  <c r="AB29" i="4"/>
  <c r="R29" i="4"/>
  <c r="J28" i="4"/>
  <c r="X27" i="4"/>
  <c r="P27" i="4"/>
  <c r="AD26" i="4"/>
  <c r="V26" i="4"/>
  <c r="N26" i="4"/>
  <c r="AB25" i="4"/>
  <c r="T25" i="4"/>
  <c r="L25" i="4"/>
  <c r="B25" i="4"/>
  <c r="B35" i="4" s="1"/>
  <c r="X24" i="4"/>
  <c r="P24" i="4"/>
  <c r="AB23" i="4"/>
  <c r="T23" i="4"/>
  <c r="X40" i="4"/>
  <c r="N40" i="4"/>
  <c r="N39" i="4"/>
  <c r="Z38" i="4"/>
  <c r="Z37" i="4"/>
  <c r="P37" i="4"/>
  <c r="P36" i="4"/>
  <c r="R35" i="4"/>
  <c r="AD34" i="4"/>
  <c r="T34" i="4"/>
  <c r="L32" i="4"/>
  <c r="N31" i="4"/>
  <c r="Z30" i="4"/>
  <c r="P30" i="4"/>
  <c r="P29" i="4"/>
  <c r="AB28" i="4"/>
  <c r="R28" i="4"/>
  <c r="T40" i="4"/>
  <c r="J40" i="4"/>
  <c r="J39" i="4"/>
  <c r="V38" i="4"/>
  <c r="V37" i="4"/>
  <c r="L37" i="4"/>
  <c r="L36" i="4"/>
  <c r="N35" i="4"/>
  <c r="Z34" i="4"/>
  <c r="P34" i="4"/>
  <c r="AB33" i="4"/>
  <c r="AD32" i="4"/>
  <c r="J31" i="4"/>
  <c r="V30" i="4"/>
  <c r="L30" i="4"/>
  <c r="L29" i="4"/>
  <c r="X28" i="4"/>
  <c r="N28" i="4"/>
  <c r="AB27" i="4"/>
  <c r="T27" i="4"/>
  <c r="L27" i="4"/>
  <c r="Z26" i="4"/>
  <c r="R26" i="4"/>
  <c r="J26" i="4"/>
  <c r="X25" i="4"/>
  <c r="P25" i="4"/>
  <c r="AB24" i="4"/>
  <c r="T24" i="4"/>
  <c r="L24" i="4"/>
  <c r="B24" i="4"/>
  <c r="X23" i="4"/>
  <c r="P23" i="4"/>
  <c r="AB22" i="4"/>
  <c r="T22" i="4"/>
  <c r="L22" i="4"/>
  <c r="B22" i="4"/>
  <c r="X21" i="4"/>
  <c r="P21" i="4"/>
  <c r="AB20" i="4"/>
  <c r="T20" i="4"/>
  <c r="L20" i="4"/>
  <c r="B20" i="4"/>
  <c r="X19" i="4"/>
  <c r="P19" i="4"/>
  <c r="AB18" i="4"/>
  <c r="T18" i="4"/>
  <c r="L18" i="4"/>
  <c r="B18" i="4"/>
  <c r="X17" i="4"/>
  <c r="P17" i="4"/>
  <c r="AB16" i="4"/>
  <c r="AC16" i="4" s="1"/>
  <c r="T16" i="4"/>
  <c r="U16" i="4" s="1"/>
  <c r="L16" i="4"/>
  <c r="M16" i="4" s="1"/>
  <c r="B16" i="4"/>
  <c r="X39" i="4"/>
  <c r="N30" i="4"/>
  <c r="AB26" i="4"/>
  <c r="R25" i="4"/>
  <c r="R23" i="4"/>
  <c r="AD22" i="4"/>
  <c r="B19" i="4"/>
  <c r="J17" i="4"/>
  <c r="N16" i="4"/>
  <c r="O16" i="4" s="1"/>
  <c r="V39" i="4"/>
  <c r="X37" i="4"/>
  <c r="Z35" i="4"/>
  <c r="J32" i="4"/>
  <c r="P28" i="4"/>
  <c r="N24" i="4"/>
  <c r="L21" i="4"/>
  <c r="X20" i="4"/>
  <c r="T17" i="4"/>
  <c r="X16" i="4"/>
  <c r="Y16" i="4" s="1"/>
  <c r="N20" i="4"/>
  <c r="T21" i="4"/>
  <c r="L17" i="4"/>
  <c r="P16" i="4"/>
  <c r="Q16" i="4" s="1"/>
  <c r="N37" i="4"/>
  <c r="T33" i="4"/>
  <c r="Z29" i="4"/>
  <c r="AD27" i="4"/>
  <c r="T26" i="4"/>
  <c r="J25" i="4"/>
  <c r="L23" i="4"/>
  <c r="X22" i="4"/>
  <c r="J21" i="4"/>
  <c r="V20" i="4"/>
  <c r="AB19" i="4"/>
  <c r="L19" i="4"/>
  <c r="AD18" i="4"/>
  <c r="P18" i="4"/>
  <c r="T19" i="4"/>
  <c r="L40" i="4"/>
  <c r="L39" i="4"/>
  <c r="V31" i="4"/>
  <c r="X29" i="4"/>
  <c r="J23" i="4"/>
  <c r="V22" i="4"/>
  <c r="AB21" i="4"/>
  <c r="Z19" i="4"/>
  <c r="R17" i="4"/>
  <c r="V16" i="4"/>
  <c r="W16" i="4" s="1"/>
  <c r="N38" i="4"/>
  <c r="R34" i="4"/>
  <c r="V32" i="4"/>
  <c r="Z28" i="4"/>
  <c r="N27" i="4"/>
  <c r="Z25" i="4"/>
  <c r="Z23" i="4"/>
  <c r="N22" i="4"/>
  <c r="Z17" i="4"/>
  <c r="AD16" i="4"/>
  <c r="AE16" i="4" s="1"/>
  <c r="B23" i="4"/>
  <c r="X38" i="4"/>
  <c r="Z36" i="4"/>
  <c r="V27" i="4"/>
  <c r="L26" i="4"/>
  <c r="Z21" i="4"/>
  <c r="P20" i="4"/>
  <c r="J19" i="4"/>
  <c r="N18" i="4"/>
  <c r="AB17" i="4"/>
  <c r="B17" i="4"/>
  <c r="G9" i="9" s="1"/>
  <c r="V40" i="4"/>
  <c r="X36" i="4"/>
  <c r="N29" i="4"/>
  <c r="AD24" i="4"/>
  <c r="P22" i="4"/>
  <c r="B21" i="4"/>
  <c r="V24" i="4"/>
  <c r="AB34" i="4"/>
  <c r="X18" i="4"/>
  <c r="AD20" i="4"/>
  <c r="L38" i="4"/>
  <c r="N36" i="4"/>
  <c r="T32" i="4"/>
  <c r="X30" i="4"/>
  <c r="R21" i="4"/>
  <c r="R19" i="4"/>
  <c r="V18" i="4"/>
  <c r="B9" i="4"/>
  <c r="K17" i="7" l="1"/>
  <c r="U17" i="6"/>
  <c r="M18" i="8"/>
  <c r="O18" i="8"/>
  <c r="O17" i="7"/>
  <c r="U17" i="5"/>
  <c r="AC17" i="5"/>
  <c r="M17" i="4"/>
  <c r="AC17" i="7"/>
  <c r="AE17" i="6"/>
  <c r="AC17" i="6"/>
  <c r="S18" i="8"/>
  <c r="Q17" i="4"/>
  <c r="Q17" i="6"/>
  <c r="Q18" i="6" s="1"/>
  <c r="Q19" i="6" s="1"/>
  <c r="Q20" i="6" s="1"/>
  <c r="Q21" i="6" s="1"/>
  <c r="Q22" i="6" s="1"/>
  <c r="Q23" i="6" s="1"/>
  <c r="Q24" i="6" s="1"/>
  <c r="Q25" i="6" s="1"/>
  <c r="Q26" i="6" s="1"/>
  <c r="Q27" i="6" s="1"/>
  <c r="Q28" i="6" s="1"/>
  <c r="Q29" i="6" s="1"/>
  <c r="Q30" i="6" s="1"/>
  <c r="Q31" i="6" s="1"/>
  <c r="Q32" i="6" s="1"/>
  <c r="Q33" i="6" s="1"/>
  <c r="Q34" i="6" s="1"/>
  <c r="Q35" i="6" s="1"/>
  <c r="Q36" i="6" s="1"/>
  <c r="Q37" i="6" s="1"/>
  <c r="Q38" i="6" s="1"/>
  <c r="Q39" i="6" s="1"/>
  <c r="Q40" i="6" s="1"/>
  <c r="Q18" i="8"/>
  <c r="AC18" i="8"/>
  <c r="AA17" i="5"/>
  <c r="AA18" i="5" s="1"/>
  <c r="AA19" i="5" s="1"/>
  <c r="AA20" i="5" s="1"/>
  <c r="AA21" i="5" s="1"/>
  <c r="AA22" i="5" s="1"/>
  <c r="AA23" i="5" s="1"/>
  <c r="AA24" i="5" s="1"/>
  <c r="AA25" i="5" s="1"/>
  <c r="AA26" i="5" s="1"/>
  <c r="AA27" i="5" s="1"/>
  <c r="AA28" i="5" s="1"/>
  <c r="AA29" i="5" s="1"/>
  <c r="AA30" i="5" s="1"/>
  <c r="AA31" i="5" s="1"/>
  <c r="AA32" i="5" s="1"/>
  <c r="AA33" i="5" s="1"/>
  <c r="AA34" i="5" s="1"/>
  <c r="AA35" i="5" s="1"/>
  <c r="AA36" i="5" s="1"/>
  <c r="AA37" i="5" s="1"/>
  <c r="AA38" i="5" s="1"/>
  <c r="AA39" i="5" s="1"/>
  <c r="AA40" i="5" s="1"/>
  <c r="K17" i="6"/>
  <c r="AA18" i="8"/>
  <c r="U18" i="8"/>
  <c r="Y17" i="7"/>
  <c r="O17" i="5"/>
  <c r="O18" i="5" s="1"/>
  <c r="O19" i="5" s="1"/>
  <c r="O20" i="5" s="1"/>
  <c r="O21" i="5" s="1"/>
  <c r="O22" i="5" s="1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O40" i="5" s="1"/>
  <c r="Y17" i="4"/>
  <c r="C9" i="11"/>
  <c r="AE17" i="4"/>
  <c r="AA17" i="4"/>
  <c r="W17" i="5"/>
  <c r="K18" i="8"/>
  <c r="W17" i="4"/>
  <c r="S17" i="7"/>
  <c r="O17" i="4"/>
  <c r="S17" i="5"/>
  <c r="S17" i="6"/>
  <c r="M17" i="6"/>
  <c r="AE18" i="8"/>
  <c r="W18" i="8"/>
  <c r="Y18" i="8"/>
  <c r="AE17" i="5"/>
  <c r="I9" i="9"/>
  <c r="H9" i="9"/>
  <c r="B34" i="4"/>
  <c r="D5" i="21"/>
  <c r="I8" i="9"/>
  <c r="H8" i="9"/>
  <c r="B34" i="7"/>
  <c r="M17" i="7"/>
  <c r="G5" i="9"/>
  <c r="I5" i="9"/>
  <c r="B34" i="5"/>
  <c r="H5" i="9"/>
  <c r="Q17" i="5"/>
  <c r="Y17" i="6"/>
  <c r="AE17" i="7"/>
  <c r="K17" i="5"/>
  <c r="Y17" i="5"/>
  <c r="AA17" i="6"/>
  <c r="U17" i="4"/>
  <c r="AC17" i="4"/>
  <c r="AA17" i="7"/>
  <c r="Q17" i="7"/>
  <c r="U17" i="7"/>
  <c r="M17" i="5"/>
  <c r="O17" i="6"/>
  <c r="K17" i="4"/>
  <c r="W17" i="6"/>
  <c r="S17" i="4"/>
  <c r="B7" i="21"/>
  <c r="C6" i="21"/>
  <c r="W17" i="7"/>
  <c r="I7" i="9"/>
  <c r="G7" i="9"/>
  <c r="B34" i="6"/>
  <c r="H7" i="9"/>
  <c r="D18" i="6"/>
  <c r="D23" i="5"/>
  <c r="D17" i="5"/>
  <c r="W18" i="6" l="1"/>
  <c r="AC18" i="7"/>
  <c r="W18" i="7"/>
  <c r="Y18" i="5"/>
  <c r="S18" i="5"/>
  <c r="C10" i="11"/>
  <c r="AC19" i="8"/>
  <c r="M18" i="4"/>
  <c r="M18" i="5"/>
  <c r="S18" i="6"/>
  <c r="O18" i="4"/>
  <c r="Y18" i="4"/>
  <c r="Q19" i="8"/>
  <c r="AC18" i="5"/>
  <c r="S18" i="4"/>
  <c r="K18" i="4"/>
  <c r="AC18" i="4"/>
  <c r="AE18" i="7"/>
  <c r="S18" i="7"/>
  <c r="U18" i="5"/>
  <c r="U18" i="7"/>
  <c r="AA18" i="7"/>
  <c r="AE18" i="4"/>
  <c r="K18" i="5"/>
  <c r="U18" i="4"/>
  <c r="M18" i="7"/>
  <c r="O18" i="6"/>
  <c r="Y18" i="6"/>
  <c r="Y19" i="8"/>
  <c r="W18" i="4"/>
  <c r="Y18" i="7"/>
  <c r="Q18" i="4"/>
  <c r="O18" i="7"/>
  <c r="W19" i="8"/>
  <c r="K19" i="8"/>
  <c r="U19" i="8"/>
  <c r="S19" i="8"/>
  <c r="O19" i="8"/>
  <c r="AE19" i="8"/>
  <c r="W18" i="5"/>
  <c r="AA19" i="8"/>
  <c r="AC18" i="6"/>
  <c r="M19" i="8"/>
  <c r="Q18" i="5"/>
  <c r="Q18" i="7"/>
  <c r="AA18" i="6"/>
  <c r="AE18" i="5"/>
  <c r="M18" i="6"/>
  <c r="AA18" i="4"/>
  <c r="K18" i="6"/>
  <c r="AE18" i="6"/>
  <c r="U18" i="6"/>
  <c r="K18" i="7"/>
  <c r="J5" i="9"/>
  <c r="J9" i="9"/>
  <c r="C7" i="21"/>
  <c r="B8" i="21"/>
  <c r="J7" i="9"/>
  <c r="J8" i="9"/>
  <c r="D6" i="21"/>
  <c r="E5" i="21"/>
  <c r="K19" i="7" l="1"/>
  <c r="S20" i="8"/>
  <c r="Y20" i="8"/>
  <c r="S19" i="5"/>
  <c r="U19" i="6"/>
  <c r="Q19" i="5"/>
  <c r="U20" i="8"/>
  <c r="Y19" i="6"/>
  <c r="U19" i="5"/>
  <c r="Y19" i="4"/>
  <c r="Y19" i="5"/>
  <c r="Q19" i="7"/>
  <c r="U19" i="7"/>
  <c r="Q20" i="8"/>
  <c r="AE19" i="6"/>
  <c r="M20" i="8"/>
  <c r="K20" i="8"/>
  <c r="O19" i="6"/>
  <c r="S19" i="7"/>
  <c r="O19" i="4"/>
  <c r="W19" i="7"/>
  <c r="K19" i="6"/>
  <c r="AC19" i="6"/>
  <c r="W20" i="8"/>
  <c r="M19" i="7"/>
  <c r="AE19" i="7"/>
  <c r="S19" i="6"/>
  <c r="AC19" i="7"/>
  <c r="AA19" i="4"/>
  <c r="AA20" i="8"/>
  <c r="O19" i="7"/>
  <c r="U19" i="4"/>
  <c r="AC19" i="4"/>
  <c r="M19" i="5"/>
  <c r="W19" i="6"/>
  <c r="M19" i="4"/>
  <c r="M19" i="6"/>
  <c r="Q19" i="4"/>
  <c r="K19" i="5"/>
  <c r="K19" i="4"/>
  <c r="AE19" i="5"/>
  <c r="AE20" i="8"/>
  <c r="Y19" i="7"/>
  <c r="AE19" i="4"/>
  <c r="S19" i="4"/>
  <c r="AC20" i="8"/>
  <c r="W19" i="5"/>
  <c r="AA19" i="6"/>
  <c r="O20" i="8"/>
  <c r="W19" i="4"/>
  <c r="AA19" i="7"/>
  <c r="AC19" i="5"/>
  <c r="C11" i="11"/>
  <c r="C8" i="21"/>
  <c r="B9" i="21"/>
  <c r="D7" i="21"/>
  <c r="E6" i="21"/>
  <c r="AA20" i="6" l="1"/>
  <c r="K20" i="4"/>
  <c r="U20" i="4"/>
  <c r="W21" i="8"/>
  <c r="M21" i="8"/>
  <c r="Y20" i="6"/>
  <c r="AC21" i="8"/>
  <c r="Q20" i="4"/>
  <c r="AA21" i="8"/>
  <c r="K20" i="6"/>
  <c r="Q21" i="8"/>
  <c r="Q20" i="5"/>
  <c r="U21" i="8"/>
  <c r="C12" i="11"/>
  <c r="S20" i="4"/>
  <c r="M20" i="6"/>
  <c r="AA20" i="4"/>
  <c r="W20" i="7"/>
  <c r="U20" i="7"/>
  <c r="U20" i="6"/>
  <c r="W20" i="5"/>
  <c r="AC20" i="6"/>
  <c r="AC20" i="5"/>
  <c r="AE20" i="4"/>
  <c r="M20" i="4"/>
  <c r="AC20" i="7"/>
  <c r="O20" i="4"/>
  <c r="Q20" i="7"/>
  <c r="S20" i="5"/>
  <c r="AA20" i="7"/>
  <c r="Y20" i="7"/>
  <c r="W20" i="6"/>
  <c r="S20" i="6"/>
  <c r="S20" i="7"/>
  <c r="Y20" i="5"/>
  <c r="Y21" i="8"/>
  <c r="O20" i="7"/>
  <c r="AE20" i="6"/>
  <c r="W20" i="4"/>
  <c r="AE21" i="8"/>
  <c r="M20" i="5"/>
  <c r="AE20" i="7"/>
  <c r="O20" i="6"/>
  <c r="Y20" i="4"/>
  <c r="S21" i="8"/>
  <c r="K20" i="5"/>
  <c r="O21" i="8"/>
  <c r="AE20" i="5"/>
  <c r="AC20" i="4"/>
  <c r="M20" i="7"/>
  <c r="K21" i="8"/>
  <c r="U20" i="5"/>
  <c r="K20" i="7"/>
  <c r="B10" i="21"/>
  <c r="C9" i="21"/>
  <c r="D8" i="21"/>
  <c r="E7" i="21"/>
  <c r="C13" i="11" l="1"/>
  <c r="M22" i="8"/>
  <c r="Y21" i="4"/>
  <c r="Q21" i="7"/>
  <c r="Q21" i="5"/>
  <c r="Y21" i="5"/>
  <c r="U21" i="7"/>
  <c r="AE21" i="5"/>
  <c r="AE22" i="8"/>
  <c r="W21" i="6"/>
  <c r="AE21" i="4"/>
  <c r="M21" i="6"/>
  <c r="Q21" i="4"/>
  <c r="O21" i="7"/>
  <c r="W21" i="5"/>
  <c r="Y22" i="8"/>
  <c r="O22" i="8"/>
  <c r="W21" i="4"/>
  <c r="Y21" i="7"/>
  <c r="AC21" i="5"/>
  <c r="S21" i="4"/>
  <c r="AC22" i="8"/>
  <c r="K21" i="5"/>
  <c r="AE21" i="6"/>
  <c r="AA21" i="7"/>
  <c r="AC21" i="6"/>
  <c r="Y21" i="6"/>
  <c r="Q22" i="8"/>
  <c r="K21" i="7"/>
  <c r="S22" i="8"/>
  <c r="S21" i="5"/>
  <c r="U22" i="8"/>
  <c r="U21" i="5"/>
  <c r="U21" i="6"/>
  <c r="W22" i="8"/>
  <c r="K22" i="8"/>
  <c r="O21" i="6"/>
  <c r="O21" i="4"/>
  <c r="U21" i="4"/>
  <c r="M21" i="7"/>
  <c r="AE21" i="7"/>
  <c r="S21" i="7"/>
  <c r="AC21" i="7"/>
  <c r="W21" i="7"/>
  <c r="K21" i="6"/>
  <c r="K21" i="4"/>
  <c r="AC21" i="4"/>
  <c r="M21" i="5"/>
  <c r="S21" i="6"/>
  <c r="M21" i="4"/>
  <c r="AA21" i="4"/>
  <c r="AA22" i="8"/>
  <c r="AA21" i="6"/>
  <c r="E8" i="21"/>
  <c r="D9" i="21"/>
  <c r="C10" i="21"/>
  <c r="B11" i="21"/>
  <c r="Y23" i="8" l="1"/>
  <c r="W23" i="8"/>
  <c r="AC23" i="8"/>
  <c r="AA23" i="8"/>
  <c r="AE23" i="8"/>
  <c r="C14" i="11"/>
  <c r="Q22" i="4"/>
  <c r="Q22" i="5"/>
  <c r="AC22" i="4"/>
  <c r="U22" i="4"/>
  <c r="S22" i="5"/>
  <c r="AC22" i="5"/>
  <c r="M22" i="6"/>
  <c r="Q22" i="7"/>
  <c r="M22" i="7"/>
  <c r="U23" i="8"/>
  <c r="K22" i="4"/>
  <c r="O22" i="4"/>
  <c r="Y22" i="7"/>
  <c r="AE22" i="4"/>
  <c r="AA22" i="6"/>
  <c r="K22" i="6"/>
  <c r="K22" i="7"/>
  <c r="AC22" i="6"/>
  <c r="W22" i="4"/>
  <c r="W22" i="6"/>
  <c r="M23" i="8"/>
  <c r="W22" i="7"/>
  <c r="K23" i="8"/>
  <c r="AA22" i="7"/>
  <c r="O23" i="8"/>
  <c r="M22" i="5"/>
  <c r="S22" i="4"/>
  <c r="S23" i="8"/>
  <c r="Y22" i="6"/>
  <c r="Y22" i="4"/>
  <c r="O22" i="6"/>
  <c r="AA22" i="4"/>
  <c r="AC22" i="7"/>
  <c r="Q23" i="8"/>
  <c r="AE22" i="6"/>
  <c r="AE22" i="5"/>
  <c r="M22" i="4"/>
  <c r="S22" i="7"/>
  <c r="U22" i="6"/>
  <c r="K22" i="5"/>
  <c r="W22" i="5"/>
  <c r="U22" i="7"/>
  <c r="S22" i="6"/>
  <c r="AE22" i="7"/>
  <c r="U22" i="5"/>
  <c r="O22" i="7"/>
  <c r="Y22" i="5"/>
  <c r="B12" i="21"/>
  <c r="C11" i="21"/>
  <c r="D10" i="21"/>
  <c r="E9" i="21"/>
  <c r="Y23" i="6" l="1"/>
  <c r="AE23" i="7"/>
  <c r="S24" i="8"/>
  <c r="W23" i="6"/>
  <c r="C15" i="11"/>
  <c r="AE23" i="6"/>
  <c r="AE24" i="8"/>
  <c r="M24" i="8"/>
  <c r="Q24" i="8"/>
  <c r="AC23" i="6"/>
  <c r="U24" i="8"/>
  <c r="AA24" i="8"/>
  <c r="AC23" i="7"/>
  <c r="O24" i="8"/>
  <c r="AC24" i="8"/>
  <c r="W24" i="8"/>
  <c r="AA23" i="7"/>
  <c r="K24" i="8"/>
  <c r="AA23" i="6"/>
  <c r="Y24" i="8"/>
  <c r="U23" i="6"/>
  <c r="K23" i="4"/>
  <c r="M23" i="7"/>
  <c r="Q23" i="5"/>
  <c r="S23" i="7"/>
  <c r="AE23" i="4"/>
  <c r="Y23" i="5"/>
  <c r="M23" i="4"/>
  <c r="Y23" i="7"/>
  <c r="M23" i="6"/>
  <c r="U23" i="5"/>
  <c r="O23" i="7"/>
  <c r="S23" i="6"/>
  <c r="AE23" i="5"/>
  <c r="W23" i="7"/>
  <c r="AC23" i="5"/>
  <c r="Q23" i="4"/>
  <c r="U23" i="7"/>
  <c r="Q23" i="7"/>
  <c r="W23" i="5"/>
  <c r="AA23" i="4"/>
  <c r="S23" i="5"/>
  <c r="K23" i="5"/>
  <c r="O23" i="6"/>
  <c r="S23" i="4"/>
  <c r="M23" i="5"/>
  <c r="W23" i="4"/>
  <c r="K23" i="7"/>
  <c r="U23" i="4"/>
  <c r="Y23" i="4"/>
  <c r="K23" i="6"/>
  <c r="O23" i="4"/>
  <c r="AC23" i="4"/>
  <c r="C12" i="21"/>
  <c r="B13" i="21"/>
  <c r="E10" i="21"/>
  <c r="D11" i="21"/>
  <c r="U24" i="6" l="1"/>
  <c r="AC25" i="8"/>
  <c r="AE25" i="8"/>
  <c r="O25" i="8"/>
  <c r="AE24" i="6"/>
  <c r="M25" i="8"/>
  <c r="AC24" i="7"/>
  <c r="C16" i="11"/>
  <c r="Y25" i="8"/>
  <c r="AA25" i="8"/>
  <c r="W24" i="6"/>
  <c r="M24" i="4"/>
  <c r="U24" i="7"/>
  <c r="M24" i="6"/>
  <c r="O24" i="4"/>
  <c r="Y24" i="7"/>
  <c r="AA24" i="6"/>
  <c r="U25" i="8"/>
  <c r="S25" i="8"/>
  <c r="W25" i="8"/>
  <c r="K24" i="6"/>
  <c r="O24" i="6"/>
  <c r="K25" i="8"/>
  <c r="AC24" i="6"/>
  <c r="AE24" i="7"/>
  <c r="K24" i="4"/>
  <c r="S24" i="6"/>
  <c r="K24" i="5"/>
  <c r="W24" i="7"/>
  <c r="AA24" i="7"/>
  <c r="Q25" i="8"/>
  <c r="Y24" i="6"/>
  <c r="Y24" i="4"/>
  <c r="Q24" i="7"/>
  <c r="Y24" i="5"/>
  <c r="AE24" i="4"/>
  <c r="S24" i="4"/>
  <c r="AA24" i="4"/>
  <c r="M24" i="7"/>
  <c r="K24" i="7"/>
  <c r="M24" i="5"/>
  <c r="U24" i="4"/>
  <c r="W24" i="4"/>
  <c r="Q24" i="4"/>
  <c r="S24" i="7"/>
  <c r="AC24" i="4"/>
  <c r="W24" i="5"/>
  <c r="S24" i="5"/>
  <c r="O24" i="7"/>
  <c r="Q24" i="5"/>
  <c r="U24" i="5"/>
  <c r="AC24" i="5"/>
  <c r="AE24" i="5"/>
  <c r="D12" i="21"/>
  <c r="E11" i="21"/>
  <c r="C13" i="21"/>
  <c r="B14" i="21"/>
  <c r="D25" i="8"/>
  <c r="D22" i="8"/>
  <c r="D24" i="7"/>
  <c r="D21" i="8"/>
  <c r="D23" i="8"/>
  <c r="D25" i="7"/>
  <c r="D24" i="8"/>
  <c r="AE25" i="6" l="1"/>
  <c r="AC25" i="6"/>
  <c r="AE26" i="8"/>
  <c r="AE27" i="8" s="1"/>
  <c r="AE28" i="8" s="1"/>
  <c r="AE29" i="8" s="1"/>
  <c r="AE30" i="8" s="1"/>
  <c r="AE31" i="8" s="1"/>
  <c r="AE32" i="8" s="1"/>
  <c r="AE33" i="8" s="1"/>
  <c r="AE34" i="8" s="1"/>
  <c r="AE35" i="8" s="1"/>
  <c r="AE36" i="8" s="1"/>
  <c r="AE37" i="8" s="1"/>
  <c r="AE38" i="8" s="1"/>
  <c r="AE39" i="8" s="1"/>
  <c r="AE40" i="8" s="1"/>
  <c r="C25" i="8" s="1"/>
  <c r="B35" i="8" s="1"/>
  <c r="AA25" i="6"/>
  <c r="M25" i="5"/>
  <c r="Q25" i="7"/>
  <c r="Y25" i="6"/>
  <c r="Y25" i="7"/>
  <c r="C17" i="11"/>
  <c r="Q26" i="8"/>
  <c r="K26" i="8"/>
  <c r="O25" i="4"/>
  <c r="AC25" i="7"/>
  <c r="AC26" i="7" s="1"/>
  <c r="AC27" i="7" s="1"/>
  <c r="AC28" i="7" s="1"/>
  <c r="AC29" i="7" s="1"/>
  <c r="AC30" i="7" s="1"/>
  <c r="AC31" i="7" s="1"/>
  <c r="AC32" i="7" s="1"/>
  <c r="AC33" i="7" s="1"/>
  <c r="AC34" i="7" s="1"/>
  <c r="AC35" i="7" s="1"/>
  <c r="AC36" i="7" s="1"/>
  <c r="AC37" i="7" s="1"/>
  <c r="AC38" i="7" s="1"/>
  <c r="AC39" i="7" s="1"/>
  <c r="AC40" i="7" s="1"/>
  <c r="AA25" i="7"/>
  <c r="O25" i="6"/>
  <c r="M25" i="6"/>
  <c r="M26" i="8"/>
  <c r="W25" i="7"/>
  <c r="K25" i="6"/>
  <c r="U25" i="7"/>
  <c r="S25" i="7"/>
  <c r="K25" i="5"/>
  <c r="W26" i="8"/>
  <c r="W27" i="8" s="1"/>
  <c r="W28" i="8" s="1"/>
  <c r="W29" i="8" s="1"/>
  <c r="W30" i="8" s="1"/>
  <c r="W31" i="8" s="1"/>
  <c r="W32" i="8" s="1"/>
  <c r="W33" i="8" s="1"/>
  <c r="W34" i="8" s="1"/>
  <c r="W35" i="8" s="1"/>
  <c r="W36" i="8" s="1"/>
  <c r="W37" i="8" s="1"/>
  <c r="W38" i="8" s="1"/>
  <c r="W39" i="8" s="1"/>
  <c r="W40" i="8" s="1"/>
  <c r="C21" i="8" s="1"/>
  <c r="M25" i="4"/>
  <c r="O26" i="8"/>
  <c r="Q25" i="4"/>
  <c r="S25" i="6"/>
  <c r="S26" i="8"/>
  <c r="W25" i="6"/>
  <c r="S25" i="4"/>
  <c r="K25" i="4"/>
  <c r="U26" i="8"/>
  <c r="AA26" i="8"/>
  <c r="AA27" i="8" s="1"/>
  <c r="AA28" i="8" s="1"/>
  <c r="AA29" i="8" s="1"/>
  <c r="AA30" i="8" s="1"/>
  <c r="AA31" i="8" s="1"/>
  <c r="AA32" i="8" s="1"/>
  <c r="AA33" i="8" s="1"/>
  <c r="AA34" i="8" s="1"/>
  <c r="AA35" i="8" s="1"/>
  <c r="AA36" i="8" s="1"/>
  <c r="AA37" i="8" s="1"/>
  <c r="AA38" i="8" s="1"/>
  <c r="AA39" i="8" s="1"/>
  <c r="AA40" i="8" s="1"/>
  <c r="C23" i="8" s="1"/>
  <c r="AC26" i="8"/>
  <c r="AC27" i="8" s="1"/>
  <c r="AC28" i="8" s="1"/>
  <c r="AC29" i="8" s="1"/>
  <c r="AC30" i="8" s="1"/>
  <c r="AC31" i="8" s="1"/>
  <c r="AC32" i="8" s="1"/>
  <c r="AC33" i="8" s="1"/>
  <c r="AC34" i="8" s="1"/>
  <c r="AC35" i="8" s="1"/>
  <c r="AC36" i="8" s="1"/>
  <c r="AC37" i="8" s="1"/>
  <c r="AC38" i="8" s="1"/>
  <c r="AC39" i="8" s="1"/>
  <c r="AC40" i="8" s="1"/>
  <c r="C24" i="8" s="1"/>
  <c r="Q25" i="5"/>
  <c r="U25" i="4"/>
  <c r="AE25" i="7"/>
  <c r="AE26" i="7" s="1"/>
  <c r="AE27" i="7" s="1"/>
  <c r="AE28" i="7" s="1"/>
  <c r="AE29" i="7" s="1"/>
  <c r="AE30" i="7" s="1"/>
  <c r="AE31" i="7" s="1"/>
  <c r="AE32" i="7" s="1"/>
  <c r="AE33" i="7" s="1"/>
  <c r="AE34" i="7" s="1"/>
  <c r="AE35" i="7" s="1"/>
  <c r="AE36" i="7" s="1"/>
  <c r="AE37" i="7" s="1"/>
  <c r="AE38" i="7" s="1"/>
  <c r="AE39" i="7" s="1"/>
  <c r="AE40" i="7" s="1"/>
  <c r="Y26" i="8"/>
  <c r="Y27" i="8" s="1"/>
  <c r="Y28" i="8" s="1"/>
  <c r="Y29" i="8" s="1"/>
  <c r="Y30" i="8" s="1"/>
  <c r="Y31" i="8" s="1"/>
  <c r="Y32" i="8" s="1"/>
  <c r="Y33" i="8" s="1"/>
  <c r="Y34" i="8" s="1"/>
  <c r="Y35" i="8" s="1"/>
  <c r="Y36" i="8" s="1"/>
  <c r="Y37" i="8" s="1"/>
  <c r="Y38" i="8" s="1"/>
  <c r="Y39" i="8" s="1"/>
  <c r="Y40" i="8" s="1"/>
  <c r="C22" i="8" s="1"/>
  <c r="U25" i="6"/>
  <c r="S25" i="5"/>
  <c r="M25" i="7"/>
  <c r="Y25" i="5"/>
  <c r="AC25" i="5"/>
  <c r="AC25" i="4"/>
  <c r="W25" i="5"/>
  <c r="U25" i="5"/>
  <c r="K25" i="7"/>
  <c r="AE25" i="5"/>
  <c r="O25" i="7"/>
  <c r="AE25" i="4"/>
  <c r="W25" i="4"/>
  <c r="AA25" i="4"/>
  <c r="Y25" i="4"/>
  <c r="E12" i="21"/>
  <c r="D13" i="21"/>
  <c r="C14" i="21"/>
  <c r="B15" i="21"/>
  <c r="D21" i="6"/>
  <c r="D20" i="8"/>
  <c r="C15" i="4"/>
  <c r="D25" i="6"/>
  <c r="D17" i="8"/>
  <c r="D24" i="6"/>
  <c r="D23" i="6"/>
  <c r="D18" i="8"/>
  <c r="D22" i="7"/>
  <c r="D22" i="6"/>
  <c r="D23" i="7"/>
  <c r="D16" i="8"/>
  <c r="D19" i="8"/>
  <c r="U27" i="8" l="1"/>
  <c r="U28" i="8" s="1"/>
  <c r="U29" i="8" s="1"/>
  <c r="U30" i="8" s="1"/>
  <c r="U31" i="8" s="1"/>
  <c r="U32" i="8" s="1"/>
  <c r="U33" i="8" s="1"/>
  <c r="U34" i="8" s="1"/>
  <c r="U35" i="8" s="1"/>
  <c r="U36" i="8" s="1"/>
  <c r="U37" i="8" s="1"/>
  <c r="U38" i="8" s="1"/>
  <c r="U39" i="8" s="1"/>
  <c r="U40" i="8" s="1"/>
  <c r="C20" i="8" s="1"/>
  <c r="U26" i="6"/>
  <c r="W26" i="6"/>
  <c r="W27" i="6" s="1"/>
  <c r="W28" i="6" s="1"/>
  <c r="W29" i="6" s="1"/>
  <c r="W30" i="6" s="1"/>
  <c r="W31" i="6" s="1"/>
  <c r="W32" i="6" s="1"/>
  <c r="W33" i="6" s="1"/>
  <c r="W34" i="6" s="1"/>
  <c r="W35" i="6" s="1"/>
  <c r="W36" i="6" s="1"/>
  <c r="W37" i="6" s="1"/>
  <c r="W38" i="6" s="1"/>
  <c r="W39" i="6" s="1"/>
  <c r="W40" i="6" s="1"/>
  <c r="S27" i="8"/>
  <c r="S28" i="8" s="1"/>
  <c r="S29" i="8" s="1"/>
  <c r="S30" i="8" s="1"/>
  <c r="S31" i="8" s="1"/>
  <c r="S32" i="8" s="1"/>
  <c r="S33" i="8" s="1"/>
  <c r="S34" i="8" s="1"/>
  <c r="S35" i="8" s="1"/>
  <c r="S36" i="8" s="1"/>
  <c r="S37" i="8" s="1"/>
  <c r="S38" i="8" s="1"/>
  <c r="S39" i="8" s="1"/>
  <c r="S40" i="8" s="1"/>
  <c r="C19" i="8" s="1"/>
  <c r="AA26" i="6"/>
  <c r="AA27" i="6" s="1"/>
  <c r="AA28" i="6" s="1"/>
  <c r="AA29" i="6" s="1"/>
  <c r="AA30" i="6" s="1"/>
  <c r="AA31" i="6" s="1"/>
  <c r="AA32" i="6" s="1"/>
  <c r="AA33" i="6" s="1"/>
  <c r="AA34" i="6" s="1"/>
  <c r="AA35" i="6" s="1"/>
  <c r="AA36" i="6" s="1"/>
  <c r="AA37" i="6" s="1"/>
  <c r="AA38" i="6" s="1"/>
  <c r="AA39" i="6" s="1"/>
  <c r="AA40" i="6" s="1"/>
  <c r="AC26" i="6"/>
  <c r="AC27" i="6" s="1"/>
  <c r="AC28" i="6" s="1"/>
  <c r="AC29" i="6" s="1"/>
  <c r="AC30" i="6" s="1"/>
  <c r="AC31" i="6" s="1"/>
  <c r="AC32" i="6" s="1"/>
  <c r="AC33" i="6" s="1"/>
  <c r="AC34" i="6" s="1"/>
  <c r="AC35" i="6" s="1"/>
  <c r="AC36" i="6" s="1"/>
  <c r="AC37" i="6" s="1"/>
  <c r="AC38" i="6" s="1"/>
  <c r="AC39" i="6" s="1"/>
  <c r="AC40" i="6" s="1"/>
  <c r="Y26" i="6"/>
  <c r="Y27" i="6" s="1"/>
  <c r="Y28" i="6" s="1"/>
  <c r="Y29" i="6" s="1"/>
  <c r="Y30" i="6" s="1"/>
  <c r="Y31" i="6" s="1"/>
  <c r="Y32" i="6" s="1"/>
  <c r="Y33" i="6" s="1"/>
  <c r="Y34" i="6" s="1"/>
  <c r="Y35" i="6" s="1"/>
  <c r="Y36" i="6" s="1"/>
  <c r="Y37" i="6" s="1"/>
  <c r="Y38" i="6" s="1"/>
  <c r="Y39" i="6" s="1"/>
  <c r="Y40" i="6" s="1"/>
  <c r="S26" i="6"/>
  <c r="Q27" i="8"/>
  <c r="Q28" i="8" s="1"/>
  <c r="Q29" i="8" s="1"/>
  <c r="Q30" i="8" s="1"/>
  <c r="Q31" i="8" s="1"/>
  <c r="Q32" i="8" s="1"/>
  <c r="Q33" i="8" s="1"/>
  <c r="Q34" i="8" s="1"/>
  <c r="Q35" i="8" s="1"/>
  <c r="Q36" i="8" s="1"/>
  <c r="Q37" i="8" s="1"/>
  <c r="Q38" i="8" s="1"/>
  <c r="Q39" i="8" s="1"/>
  <c r="Q40" i="8" s="1"/>
  <c r="C18" i="8" s="1"/>
  <c r="O27" i="8"/>
  <c r="O28" i="8" s="1"/>
  <c r="O29" i="8" s="1"/>
  <c r="O30" i="8" s="1"/>
  <c r="O31" i="8" s="1"/>
  <c r="O32" i="8" s="1"/>
  <c r="O33" i="8" s="1"/>
  <c r="O34" i="8" s="1"/>
  <c r="O35" i="8" s="1"/>
  <c r="O36" i="8" s="1"/>
  <c r="O37" i="8" s="1"/>
  <c r="O38" i="8" s="1"/>
  <c r="O39" i="8" s="1"/>
  <c r="O40" i="8" s="1"/>
  <c r="C17" i="8" s="1"/>
  <c r="AE26" i="6"/>
  <c r="AE27" i="6" s="1"/>
  <c r="AE28" i="6" s="1"/>
  <c r="AE29" i="6" s="1"/>
  <c r="AE30" i="6" s="1"/>
  <c r="AE31" i="6" s="1"/>
  <c r="AE32" i="6" s="1"/>
  <c r="AE33" i="6" s="1"/>
  <c r="AE34" i="6" s="1"/>
  <c r="AE35" i="6" s="1"/>
  <c r="AE36" i="6" s="1"/>
  <c r="AE37" i="6" s="1"/>
  <c r="AE38" i="6" s="1"/>
  <c r="AE39" i="6" s="1"/>
  <c r="AE40" i="6" s="1"/>
  <c r="S26" i="4"/>
  <c r="K26" i="5"/>
  <c r="AA26" i="7"/>
  <c r="AA27" i="7" s="1"/>
  <c r="AA28" i="7" s="1"/>
  <c r="AA29" i="7" s="1"/>
  <c r="AA30" i="7" s="1"/>
  <c r="AA31" i="7" s="1"/>
  <c r="AA32" i="7" s="1"/>
  <c r="AA33" i="7" s="1"/>
  <c r="AA34" i="7" s="1"/>
  <c r="AA35" i="7" s="1"/>
  <c r="AA36" i="7" s="1"/>
  <c r="AA37" i="7" s="1"/>
  <c r="AA38" i="7" s="1"/>
  <c r="AA39" i="7" s="1"/>
  <c r="AA40" i="7" s="1"/>
  <c r="Q26" i="7"/>
  <c r="S26" i="7"/>
  <c r="M26" i="5"/>
  <c r="U26" i="4"/>
  <c r="U26" i="7"/>
  <c r="O26" i="4"/>
  <c r="U26" i="5"/>
  <c r="Q26" i="5"/>
  <c r="K26" i="6"/>
  <c r="K27" i="8"/>
  <c r="Y26" i="4"/>
  <c r="Q26" i="4"/>
  <c r="W26" i="7"/>
  <c r="M27" i="8"/>
  <c r="M28" i="8" s="1"/>
  <c r="M29" i="8" s="1"/>
  <c r="M30" i="8" s="1"/>
  <c r="M31" i="8" s="1"/>
  <c r="M32" i="8" s="1"/>
  <c r="M33" i="8" s="1"/>
  <c r="M34" i="8" s="1"/>
  <c r="M35" i="8" s="1"/>
  <c r="M36" i="8" s="1"/>
  <c r="M37" i="8" s="1"/>
  <c r="M38" i="8" s="1"/>
  <c r="M39" i="8" s="1"/>
  <c r="M40" i="8" s="1"/>
  <c r="C16" i="8" s="1"/>
  <c r="C18" i="11"/>
  <c r="S26" i="5"/>
  <c r="M26" i="4"/>
  <c r="M26" i="6"/>
  <c r="Y26" i="7"/>
  <c r="Y27" i="7" s="1"/>
  <c r="Y28" i="7" s="1"/>
  <c r="Y29" i="7" s="1"/>
  <c r="Y30" i="7" s="1"/>
  <c r="Y31" i="7" s="1"/>
  <c r="Y32" i="7" s="1"/>
  <c r="Y33" i="7" s="1"/>
  <c r="Y34" i="7" s="1"/>
  <c r="Y35" i="7" s="1"/>
  <c r="Y36" i="7" s="1"/>
  <c r="Y37" i="7" s="1"/>
  <c r="Y38" i="7" s="1"/>
  <c r="Y39" i="7" s="1"/>
  <c r="Y40" i="7" s="1"/>
  <c r="W26" i="4"/>
  <c r="O26" i="7"/>
  <c r="K26" i="4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O26" i="6"/>
  <c r="W26" i="5"/>
  <c r="AE26" i="4"/>
  <c r="AC26" i="4"/>
  <c r="AE26" i="5"/>
  <c r="Y26" i="5"/>
  <c r="K26" i="7"/>
  <c r="AC26" i="5"/>
  <c r="M26" i="7"/>
  <c r="AA26" i="4"/>
  <c r="C15" i="21"/>
  <c r="B16" i="21"/>
  <c r="D14" i="21"/>
  <c r="E13" i="21"/>
  <c r="D16" i="6"/>
  <c r="D19" i="6"/>
  <c r="B4" i="11"/>
  <c r="D17" i="6"/>
  <c r="D20" i="6"/>
  <c r="D21" i="7"/>
  <c r="C16" i="4"/>
  <c r="D15" i="8"/>
  <c r="E6" i="9" l="1"/>
  <c r="D6" i="9"/>
  <c r="B32" i="8"/>
  <c r="B31" i="8"/>
  <c r="G190" i="11"/>
  <c r="G92" i="11"/>
  <c r="G242" i="11"/>
  <c r="G238" i="11"/>
  <c r="G246" i="11"/>
  <c r="G50" i="11"/>
  <c r="G188" i="11"/>
  <c r="G48" i="11"/>
  <c r="G99" i="11"/>
  <c r="G245" i="11"/>
  <c r="G140" i="11"/>
  <c r="G139" i="11"/>
  <c r="G138" i="11"/>
  <c r="G187" i="11"/>
  <c r="G44" i="11"/>
  <c r="G97" i="11"/>
  <c r="G196" i="11"/>
  <c r="G241" i="11"/>
  <c r="G237" i="11"/>
  <c r="G141" i="11"/>
  <c r="G94" i="11"/>
  <c r="G93" i="11"/>
  <c r="G191" i="11"/>
  <c r="G244" i="11"/>
  <c r="G41" i="11"/>
  <c r="G145" i="11"/>
  <c r="G49" i="11"/>
  <c r="G46" i="11"/>
  <c r="G142" i="11"/>
  <c r="G91" i="11"/>
  <c r="G98" i="11"/>
  <c r="G193" i="11"/>
  <c r="G239" i="11"/>
  <c r="G146" i="11"/>
  <c r="G240" i="11"/>
  <c r="G40" i="11"/>
  <c r="G197" i="11"/>
  <c r="G236" i="11"/>
  <c r="G144" i="11"/>
  <c r="G143" i="11"/>
  <c r="G47" i="11"/>
  <c r="G43" i="11"/>
  <c r="G195" i="11"/>
  <c r="G90" i="11"/>
  <c r="B12" i="10"/>
  <c r="G89" i="11"/>
  <c r="G148" i="11"/>
  <c r="G147" i="11"/>
  <c r="G45" i="11"/>
  <c r="G192" i="11"/>
  <c r="G42" i="11"/>
  <c r="G95" i="11"/>
  <c r="G96" i="11"/>
  <c r="G194" i="11"/>
  <c r="G243" i="11"/>
  <c r="G189" i="11"/>
  <c r="S27" i="6"/>
  <c r="S28" i="6" s="1"/>
  <c r="S29" i="6" s="1"/>
  <c r="S30" i="6" s="1"/>
  <c r="S31" i="6" s="1"/>
  <c r="S32" i="6" s="1"/>
  <c r="S33" i="6" s="1"/>
  <c r="S34" i="6" s="1"/>
  <c r="S35" i="6" s="1"/>
  <c r="S36" i="6" s="1"/>
  <c r="S37" i="6" s="1"/>
  <c r="S38" i="6" s="1"/>
  <c r="S39" i="6" s="1"/>
  <c r="S40" i="6" s="1"/>
  <c r="M27" i="6"/>
  <c r="M28" i="6" s="1"/>
  <c r="M29" i="6" s="1"/>
  <c r="M30" i="6" s="1"/>
  <c r="M31" i="6" s="1"/>
  <c r="M32" i="6" s="1"/>
  <c r="M33" i="6" s="1"/>
  <c r="M34" i="6" s="1"/>
  <c r="M35" i="6" s="1"/>
  <c r="M36" i="6" s="1"/>
  <c r="M37" i="6" s="1"/>
  <c r="M38" i="6" s="1"/>
  <c r="M39" i="6" s="1"/>
  <c r="M40" i="6" s="1"/>
  <c r="K28" i="8"/>
  <c r="K29" i="8" s="1"/>
  <c r="K30" i="8" s="1"/>
  <c r="K31" i="8" s="1"/>
  <c r="K32" i="8" s="1"/>
  <c r="K33" i="8" s="1"/>
  <c r="K34" i="8" s="1"/>
  <c r="K35" i="8" s="1"/>
  <c r="K36" i="8" s="1"/>
  <c r="K37" i="8" s="1"/>
  <c r="K38" i="8" s="1"/>
  <c r="K39" i="8" s="1"/>
  <c r="K40" i="8" s="1"/>
  <c r="C15" i="8" s="1"/>
  <c r="G6" i="9" s="1"/>
  <c r="M27" i="4"/>
  <c r="M28" i="4" s="1"/>
  <c r="M29" i="4" s="1"/>
  <c r="M30" i="4" s="1"/>
  <c r="M31" i="4" s="1"/>
  <c r="M32" i="4" s="1"/>
  <c r="M33" i="4" s="1"/>
  <c r="M34" i="4" s="1"/>
  <c r="M35" i="4" s="1"/>
  <c r="M36" i="4" s="1"/>
  <c r="M37" i="4" s="1"/>
  <c r="M38" i="4" s="1"/>
  <c r="M39" i="4" s="1"/>
  <c r="M40" i="4" s="1"/>
  <c r="U27" i="6"/>
  <c r="U28" i="6" s="1"/>
  <c r="U29" i="6" s="1"/>
  <c r="U30" i="6" s="1"/>
  <c r="U31" i="6" s="1"/>
  <c r="U32" i="6" s="1"/>
  <c r="U33" i="6" s="1"/>
  <c r="U34" i="6" s="1"/>
  <c r="U35" i="6" s="1"/>
  <c r="U36" i="6" s="1"/>
  <c r="U37" i="6" s="1"/>
  <c r="U38" i="6" s="1"/>
  <c r="U39" i="6" s="1"/>
  <c r="U40" i="6" s="1"/>
  <c r="W27" i="7"/>
  <c r="W28" i="7" s="1"/>
  <c r="W29" i="7" s="1"/>
  <c r="W30" i="7" s="1"/>
  <c r="W31" i="7" s="1"/>
  <c r="W32" i="7" s="1"/>
  <c r="W33" i="7" s="1"/>
  <c r="W34" i="7" s="1"/>
  <c r="W35" i="7" s="1"/>
  <c r="W36" i="7" s="1"/>
  <c r="W37" i="7" s="1"/>
  <c r="W38" i="7" s="1"/>
  <c r="W39" i="7" s="1"/>
  <c r="W40" i="7" s="1"/>
  <c r="O27" i="6"/>
  <c r="O28" i="6" s="1"/>
  <c r="O29" i="6" s="1"/>
  <c r="O30" i="6" s="1"/>
  <c r="O31" i="6" s="1"/>
  <c r="O32" i="6" s="1"/>
  <c r="O33" i="6" s="1"/>
  <c r="O34" i="6" s="1"/>
  <c r="O35" i="6" s="1"/>
  <c r="O36" i="6" s="1"/>
  <c r="O37" i="6" s="1"/>
  <c r="O38" i="6" s="1"/>
  <c r="O39" i="6" s="1"/>
  <c r="O40" i="6" s="1"/>
  <c r="C19" i="1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Y27" i="5"/>
  <c r="K27" i="5"/>
  <c r="M27" i="7"/>
  <c r="K27" i="7"/>
  <c r="S27" i="5"/>
  <c r="Q27" i="5"/>
  <c r="AC27" i="4"/>
  <c r="O27" i="7"/>
  <c r="U27" i="7"/>
  <c r="W27" i="4"/>
  <c r="Q27" i="4"/>
  <c r="U27" i="4"/>
  <c r="S27" i="4"/>
  <c r="AA27" i="4"/>
  <c r="W27" i="5"/>
  <c r="Y27" i="4"/>
  <c r="M27" i="5"/>
  <c r="U27" i="5"/>
  <c r="S27" i="7"/>
  <c r="O27" i="4"/>
  <c r="K27" i="6"/>
  <c r="Q27" i="7"/>
  <c r="AC27" i="5"/>
  <c r="AE27" i="5"/>
  <c r="AE27" i="4"/>
  <c r="E14" i="21"/>
  <c r="D15" i="21"/>
  <c r="C16" i="21"/>
  <c r="B17" i="21"/>
  <c r="D15" i="5"/>
  <c r="D15" i="6"/>
  <c r="D16" i="5"/>
  <c r="D20" i="7"/>
  <c r="D19" i="7"/>
  <c r="C18" i="4"/>
  <c r="C17" i="4"/>
  <c r="B33" i="8" l="1"/>
  <c r="E183" i="11"/>
  <c r="H55" i="14" s="1"/>
  <c r="F6" i="9"/>
  <c r="N6" i="9" s="1"/>
  <c r="E85" i="11"/>
  <c r="H68" i="14" s="1"/>
  <c r="J68" i="14" s="1"/>
  <c r="E134" i="11"/>
  <c r="H34" i="14" s="1"/>
  <c r="E232" i="11"/>
  <c r="H61" i="14" s="1"/>
  <c r="J61" i="14" s="1"/>
  <c r="E36" i="11"/>
  <c r="H37" i="14" s="1"/>
  <c r="E7" i="9"/>
  <c r="B31" i="6"/>
  <c r="D7" i="9"/>
  <c r="B32" i="6"/>
  <c r="Q28" i="4"/>
  <c r="Q29" i="4" s="1"/>
  <c r="Q30" i="4" s="1"/>
  <c r="Q31" i="4" s="1"/>
  <c r="Q32" i="4" s="1"/>
  <c r="Q33" i="4" s="1"/>
  <c r="Q34" i="4" s="1"/>
  <c r="Q35" i="4" s="1"/>
  <c r="Q36" i="4" s="1"/>
  <c r="Q37" i="4" s="1"/>
  <c r="Q38" i="4" s="1"/>
  <c r="Q39" i="4" s="1"/>
  <c r="Q40" i="4" s="1"/>
  <c r="O28" i="4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S28" i="7"/>
  <c r="S29" i="7" s="1"/>
  <c r="S30" i="7" s="1"/>
  <c r="S31" i="7" s="1"/>
  <c r="S32" i="7" s="1"/>
  <c r="S33" i="7" s="1"/>
  <c r="S34" i="7" s="1"/>
  <c r="S35" i="7" s="1"/>
  <c r="S36" i="7" s="1"/>
  <c r="S37" i="7" s="1"/>
  <c r="S38" i="7" s="1"/>
  <c r="S39" i="7" s="1"/>
  <c r="S40" i="7" s="1"/>
  <c r="U28" i="7"/>
  <c r="U29" i="7" s="1"/>
  <c r="U30" i="7" s="1"/>
  <c r="U31" i="7" s="1"/>
  <c r="U32" i="7" s="1"/>
  <c r="U33" i="7" s="1"/>
  <c r="U34" i="7" s="1"/>
  <c r="U35" i="7" s="1"/>
  <c r="U36" i="7" s="1"/>
  <c r="U37" i="7" s="1"/>
  <c r="U38" i="7" s="1"/>
  <c r="U39" i="7" s="1"/>
  <c r="U40" i="7" s="1"/>
  <c r="B34" i="8"/>
  <c r="M28" i="5"/>
  <c r="M29" i="5" s="1"/>
  <c r="M30" i="5" s="1"/>
  <c r="M31" i="5" s="1"/>
  <c r="M32" i="5" s="1"/>
  <c r="M33" i="5" s="1"/>
  <c r="M34" i="5" s="1"/>
  <c r="M35" i="5" s="1"/>
  <c r="M36" i="5" s="1"/>
  <c r="M37" i="5" s="1"/>
  <c r="M38" i="5" s="1"/>
  <c r="M39" i="5" s="1"/>
  <c r="M40" i="5" s="1"/>
  <c r="H6" i="9"/>
  <c r="K28" i="6"/>
  <c r="K29" i="6" s="1"/>
  <c r="K30" i="6" s="1"/>
  <c r="K31" i="6" s="1"/>
  <c r="K32" i="6" s="1"/>
  <c r="K33" i="6" s="1"/>
  <c r="K34" i="6" s="1"/>
  <c r="K35" i="6" s="1"/>
  <c r="K36" i="6" s="1"/>
  <c r="K37" i="6" s="1"/>
  <c r="K38" i="6" s="1"/>
  <c r="K39" i="6" s="1"/>
  <c r="K40" i="6" s="1"/>
  <c r="K28" i="5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K40" i="5" s="1"/>
  <c r="I6" i="9"/>
  <c r="S28" i="5"/>
  <c r="W28" i="4"/>
  <c r="Y28" i="4"/>
  <c r="M28" i="7"/>
  <c r="W28" i="5"/>
  <c r="O28" i="7"/>
  <c r="K28" i="7"/>
  <c r="AE28" i="4"/>
  <c r="AA28" i="4"/>
  <c r="AC28" i="4"/>
  <c r="Y28" i="5"/>
  <c r="S28" i="4"/>
  <c r="AE28" i="5"/>
  <c r="Q28" i="7"/>
  <c r="U28" i="5"/>
  <c r="AC28" i="5"/>
  <c r="U28" i="4"/>
  <c r="Q28" i="5"/>
  <c r="B18" i="21"/>
  <c r="C17" i="21"/>
  <c r="D16" i="21"/>
  <c r="E15" i="21"/>
  <c r="B10" i="8"/>
  <c r="B10" i="5"/>
  <c r="L6" i="21" a="1"/>
  <c r="K61" i="14"/>
  <c r="B10" i="6"/>
  <c r="B10" i="7"/>
  <c r="K68" i="14"/>
  <c r="D18" i="7"/>
  <c r="B10" i="4"/>
  <c r="C19" i="4"/>
  <c r="K55" i="14"/>
  <c r="K37" i="14"/>
  <c r="K34" i="14"/>
  <c r="H85" i="14" l="1"/>
  <c r="N85" i="14" s="1"/>
  <c r="P85" i="14" s="1"/>
  <c r="H65" i="14"/>
  <c r="F183" i="11"/>
  <c r="H60" i="14"/>
  <c r="N60" i="14" s="1"/>
  <c r="P60" i="14" s="1"/>
  <c r="H70" i="14"/>
  <c r="H40" i="14"/>
  <c r="J40" i="14" s="1"/>
  <c r="H25" i="14"/>
  <c r="N25" i="14" s="1"/>
  <c r="P25" i="14" s="1"/>
  <c r="H35" i="14"/>
  <c r="J35" i="14" s="1"/>
  <c r="H50" i="14"/>
  <c r="N50" i="14" s="1"/>
  <c r="P50" i="14" s="1"/>
  <c r="H15" i="14"/>
  <c r="H80" i="14"/>
  <c r="J80" i="14" s="1"/>
  <c r="H30" i="14"/>
  <c r="J30" i="14" s="1"/>
  <c r="H45" i="14"/>
  <c r="E7" i="13"/>
  <c r="J7" i="13" s="1"/>
  <c r="H75" i="14"/>
  <c r="N75" i="14" s="1"/>
  <c r="P75" i="14" s="1"/>
  <c r="H20" i="14"/>
  <c r="N20" i="14" s="1"/>
  <c r="P20" i="14" s="1"/>
  <c r="H38" i="14"/>
  <c r="N38" i="14" s="1"/>
  <c r="P38" i="14" s="1"/>
  <c r="F7" i="9"/>
  <c r="N7" i="9" s="1"/>
  <c r="E5" i="13"/>
  <c r="K5" i="13" s="1"/>
  <c r="B33" i="6"/>
  <c r="H24" i="14"/>
  <c r="N24" i="14" s="1"/>
  <c r="P24" i="14" s="1"/>
  <c r="H19" i="14"/>
  <c r="N19" i="14" s="1"/>
  <c r="P19" i="14" s="1"/>
  <c r="E6" i="13"/>
  <c r="F6" i="13" s="1"/>
  <c r="H84" i="14"/>
  <c r="J84" i="14" s="1"/>
  <c r="F134" i="11"/>
  <c r="H54" i="14"/>
  <c r="J6" i="9"/>
  <c r="H79" i="14"/>
  <c r="N79" i="14" s="1"/>
  <c r="P79" i="14" s="1"/>
  <c r="H69" i="14"/>
  <c r="N69" i="14" s="1"/>
  <c r="P69" i="14" s="1"/>
  <c r="H74" i="14"/>
  <c r="N74" i="14" s="1"/>
  <c r="P74" i="14" s="1"/>
  <c r="H39" i="14"/>
  <c r="N39" i="14" s="1"/>
  <c r="P39" i="14" s="1"/>
  <c r="H73" i="14"/>
  <c r="N73" i="14" s="1"/>
  <c r="P73" i="14" s="1"/>
  <c r="H64" i="14"/>
  <c r="N64" i="14" s="1"/>
  <c r="P64" i="14" s="1"/>
  <c r="H44" i="14"/>
  <c r="H59" i="14"/>
  <c r="J59" i="14" s="1"/>
  <c r="H63" i="14"/>
  <c r="J63" i="14" s="1"/>
  <c r="H14" i="14"/>
  <c r="N14" i="14" s="1"/>
  <c r="P14" i="14" s="1"/>
  <c r="H29" i="14"/>
  <c r="N29" i="14" s="1"/>
  <c r="P29" i="14" s="1"/>
  <c r="H48" i="14"/>
  <c r="J48" i="14" s="1"/>
  <c r="H18" i="14"/>
  <c r="J18" i="14" s="1"/>
  <c r="H49" i="14"/>
  <c r="J49" i="14" s="1"/>
  <c r="F85" i="11"/>
  <c r="H13" i="14"/>
  <c r="H22" i="14"/>
  <c r="N22" i="14" s="1"/>
  <c r="P22" i="14" s="1"/>
  <c r="L68" i="14"/>
  <c r="Q68" i="14"/>
  <c r="M68" i="14"/>
  <c r="R68" i="14" s="1"/>
  <c r="H41" i="14"/>
  <c r="N41" i="14" s="1"/>
  <c r="P41" i="14" s="1"/>
  <c r="N68" i="14"/>
  <c r="P68" i="14" s="1"/>
  <c r="H86" i="14"/>
  <c r="H58" i="14"/>
  <c r="J58" i="14" s="1"/>
  <c r="H78" i="14"/>
  <c r="N78" i="14" s="1"/>
  <c r="P78" i="14" s="1"/>
  <c r="H83" i="14"/>
  <c r="H31" i="14"/>
  <c r="N31" i="14" s="1"/>
  <c r="P31" i="14" s="1"/>
  <c r="H23" i="14"/>
  <c r="N23" i="14" s="1"/>
  <c r="P23" i="14" s="1"/>
  <c r="H28" i="14"/>
  <c r="N28" i="14" s="1"/>
  <c r="P28" i="14" s="1"/>
  <c r="H33" i="14"/>
  <c r="H53" i="14"/>
  <c r="H47" i="14"/>
  <c r="N47" i="14" s="1"/>
  <c r="P47" i="14" s="1"/>
  <c r="E8" i="13"/>
  <c r="K8" i="13" s="1"/>
  <c r="M8" i="13" s="1"/>
  <c r="Q8" i="13" s="1"/>
  <c r="H43" i="14"/>
  <c r="Q61" i="14"/>
  <c r="L61" i="14"/>
  <c r="H71" i="14"/>
  <c r="N71" i="14" s="1"/>
  <c r="P71" i="14" s="1"/>
  <c r="H27" i="14"/>
  <c r="N27" i="14" s="1"/>
  <c r="P27" i="14" s="1"/>
  <c r="H56" i="14"/>
  <c r="H17" i="14"/>
  <c r="N17" i="14" s="1"/>
  <c r="P17" i="14" s="1"/>
  <c r="H21" i="14"/>
  <c r="N21" i="14" s="1"/>
  <c r="P21" i="14" s="1"/>
  <c r="H76" i="14"/>
  <c r="H36" i="14"/>
  <c r="H32" i="14"/>
  <c r="N32" i="14" s="1"/>
  <c r="P32" i="14" s="1"/>
  <c r="H66" i="14"/>
  <c r="H26" i="14"/>
  <c r="N26" i="14" s="1"/>
  <c r="P26" i="14" s="1"/>
  <c r="H51" i="14"/>
  <c r="J51" i="14" s="1"/>
  <c r="F232" i="11"/>
  <c r="M61" i="14"/>
  <c r="R61" i="14" s="1"/>
  <c r="H72" i="14"/>
  <c r="N61" i="14"/>
  <c r="P61" i="14" s="1"/>
  <c r="H16" i="14"/>
  <c r="J16" i="14" s="1"/>
  <c r="H46" i="14"/>
  <c r="J46" i="14" s="1"/>
  <c r="H81" i="14"/>
  <c r="J81" i="14" s="1"/>
  <c r="H62" i="14"/>
  <c r="N62" i="14" s="1"/>
  <c r="P62" i="14" s="1"/>
  <c r="H42" i="14"/>
  <c r="N42" i="14" s="1"/>
  <c r="P42" i="14" s="1"/>
  <c r="H67" i="14"/>
  <c r="J67" i="14" s="1"/>
  <c r="H82" i="14"/>
  <c r="J82" i="14" s="1"/>
  <c r="H12" i="14"/>
  <c r="J12" i="14" s="1"/>
  <c r="H57" i="14"/>
  <c r="N57" i="14" s="1"/>
  <c r="P57" i="14" s="1"/>
  <c r="F36" i="11"/>
  <c r="H52" i="14"/>
  <c r="J52" i="14" s="1"/>
  <c r="H77" i="14"/>
  <c r="J77" i="14" s="1"/>
  <c r="E4" i="13"/>
  <c r="J4" i="16" s="1"/>
  <c r="D19" i="4"/>
  <c r="L6" i="21"/>
  <c r="F15" i="4"/>
  <c r="G15" i="4" s="1"/>
  <c r="D16" i="4"/>
  <c r="D15" i="4"/>
  <c r="F16" i="4"/>
  <c r="G16" i="4" s="1"/>
  <c r="C9" i="9"/>
  <c r="D18" i="4"/>
  <c r="F18" i="4"/>
  <c r="G18" i="4" s="1"/>
  <c r="D17" i="4"/>
  <c r="F19" i="4"/>
  <c r="G19" i="4" s="1"/>
  <c r="F17" i="4"/>
  <c r="G17" i="4" s="1"/>
  <c r="E23" i="5"/>
  <c r="E17" i="5"/>
  <c r="E15" i="5"/>
  <c r="G17" i="5"/>
  <c r="H17" i="5" s="1"/>
  <c r="G15" i="5"/>
  <c r="H15" i="5" s="1"/>
  <c r="E16" i="5"/>
  <c r="G23" i="5"/>
  <c r="H23" i="5" s="1"/>
  <c r="C5" i="9"/>
  <c r="G16" i="5"/>
  <c r="H16" i="5" s="1"/>
  <c r="G18" i="8"/>
  <c r="H18" i="8" s="1"/>
  <c r="E18" i="8"/>
  <c r="E16" i="8"/>
  <c r="E19" i="8"/>
  <c r="G20" i="8"/>
  <c r="H20" i="8" s="1"/>
  <c r="E23" i="8"/>
  <c r="C6" i="9"/>
  <c r="G15" i="8"/>
  <c r="H15" i="8" s="1"/>
  <c r="G25" i="8"/>
  <c r="H25" i="8" s="1"/>
  <c r="E24" i="8"/>
  <c r="G22" i="8"/>
  <c r="H22" i="8" s="1"/>
  <c r="G23" i="8"/>
  <c r="H23" i="8" s="1"/>
  <c r="E21" i="8"/>
  <c r="E25" i="8"/>
  <c r="G17" i="8"/>
  <c r="H17" i="8" s="1"/>
  <c r="G21" i="8"/>
  <c r="H21" i="8" s="1"/>
  <c r="E17" i="8"/>
  <c r="G19" i="8"/>
  <c r="H19" i="8" s="1"/>
  <c r="G24" i="8"/>
  <c r="H24" i="8" s="1"/>
  <c r="E20" i="8"/>
  <c r="E15" i="8"/>
  <c r="E22" i="8"/>
  <c r="G16" i="8"/>
  <c r="H16" i="8" s="1"/>
  <c r="G18" i="7"/>
  <c r="H18" i="7" s="1"/>
  <c r="E20" i="7"/>
  <c r="G21" i="7"/>
  <c r="H21" i="7" s="1"/>
  <c r="C8" i="9"/>
  <c r="E19" i="7"/>
  <c r="E23" i="7"/>
  <c r="G24" i="7"/>
  <c r="H24" i="7" s="1"/>
  <c r="G23" i="7"/>
  <c r="H23" i="7" s="1"/>
  <c r="E24" i="7"/>
  <c r="G20" i="7"/>
  <c r="H20" i="7" s="1"/>
  <c r="G19" i="7"/>
  <c r="H19" i="7" s="1"/>
  <c r="E25" i="7"/>
  <c r="E22" i="7"/>
  <c r="G22" i="7"/>
  <c r="H22" i="7" s="1"/>
  <c r="E21" i="7"/>
  <c r="G25" i="7"/>
  <c r="H25" i="7" s="1"/>
  <c r="G21" i="6"/>
  <c r="H21" i="6" s="1"/>
  <c r="G25" i="6"/>
  <c r="H25" i="6" s="1"/>
  <c r="E15" i="6"/>
  <c r="E25" i="6"/>
  <c r="E24" i="6"/>
  <c r="G23" i="6"/>
  <c r="H23" i="6" s="1"/>
  <c r="G16" i="6"/>
  <c r="H16" i="6" s="1"/>
  <c r="G18" i="6"/>
  <c r="H18" i="6" s="1"/>
  <c r="E22" i="6"/>
  <c r="E23" i="6"/>
  <c r="G24" i="6"/>
  <c r="H24" i="6" s="1"/>
  <c r="E19" i="6"/>
  <c r="G17" i="6"/>
  <c r="H17" i="6" s="1"/>
  <c r="G15" i="6"/>
  <c r="H15" i="6" s="1"/>
  <c r="G22" i="6"/>
  <c r="H22" i="6" s="1"/>
  <c r="E20" i="6"/>
  <c r="E21" i="6"/>
  <c r="G20" i="6"/>
  <c r="H20" i="6" s="1"/>
  <c r="E16" i="6"/>
  <c r="C7" i="9"/>
  <c r="E18" i="6"/>
  <c r="E17" i="6"/>
  <c r="G19" i="6"/>
  <c r="H19" i="6" s="1"/>
  <c r="E18" i="7"/>
  <c r="Q29" i="5"/>
  <c r="S29" i="4"/>
  <c r="S30" i="4" s="1"/>
  <c r="S31" i="4" s="1"/>
  <c r="S32" i="4" s="1"/>
  <c r="S33" i="4" s="1"/>
  <c r="S34" i="4" s="1"/>
  <c r="S35" i="4" s="1"/>
  <c r="S36" i="4" s="1"/>
  <c r="S37" i="4" s="1"/>
  <c r="S38" i="4" s="1"/>
  <c r="S39" i="4" s="1"/>
  <c r="S40" i="4" s="1"/>
  <c r="O29" i="7"/>
  <c r="Q29" i="7"/>
  <c r="Q30" i="7" s="1"/>
  <c r="Q31" i="7" s="1"/>
  <c r="Q32" i="7" s="1"/>
  <c r="Q33" i="7" s="1"/>
  <c r="Q34" i="7" s="1"/>
  <c r="Q35" i="7" s="1"/>
  <c r="Q36" i="7" s="1"/>
  <c r="Q37" i="7" s="1"/>
  <c r="Q38" i="7" s="1"/>
  <c r="Q39" i="7" s="1"/>
  <c r="Q40" i="7" s="1"/>
  <c r="J8" i="13"/>
  <c r="N86" i="14"/>
  <c r="P86" i="14" s="1"/>
  <c r="N53" i="14"/>
  <c r="P53" i="14" s="1"/>
  <c r="Q55" i="14"/>
  <c r="L55" i="14"/>
  <c r="Q34" i="14"/>
  <c r="L34" i="14"/>
  <c r="Q37" i="14"/>
  <c r="L37" i="14"/>
  <c r="AC29" i="5"/>
  <c r="J22" i="14"/>
  <c r="AA29" i="4"/>
  <c r="N55" i="14"/>
  <c r="P55" i="14" s="1"/>
  <c r="J55" i="14"/>
  <c r="M55" i="14" s="1"/>
  <c r="R55" i="14" s="1"/>
  <c r="U29" i="4"/>
  <c r="K29" i="7"/>
  <c r="J45" i="14"/>
  <c r="N45" i="14"/>
  <c r="P45" i="14" s="1"/>
  <c r="J4" i="19"/>
  <c r="J34" i="14"/>
  <c r="M34" i="14" s="1"/>
  <c r="R34" i="14" s="1"/>
  <c r="N34" i="14"/>
  <c r="P34" i="14" s="1"/>
  <c r="U29" i="5"/>
  <c r="AC29" i="4"/>
  <c r="Y29" i="4"/>
  <c r="W29" i="5"/>
  <c r="S29" i="5"/>
  <c r="J65" i="14"/>
  <c r="N65" i="14"/>
  <c r="P65" i="14" s="1"/>
  <c r="J42" i="14"/>
  <c r="AE29" i="5"/>
  <c r="N37" i="14"/>
  <c r="P37" i="14" s="1"/>
  <c r="J37" i="14"/>
  <c r="M37" i="14" s="1"/>
  <c r="R37" i="14" s="1"/>
  <c r="J70" i="14"/>
  <c r="N70" i="14"/>
  <c r="P70" i="14" s="1"/>
  <c r="AE29" i="4"/>
  <c r="Y29" i="5"/>
  <c r="J79" i="14"/>
  <c r="J54" i="14"/>
  <c r="N54" i="14"/>
  <c r="P54" i="14" s="1"/>
  <c r="M29" i="7"/>
  <c r="W29" i="4"/>
  <c r="J15" i="14"/>
  <c r="N15" i="14"/>
  <c r="P15" i="14" s="1"/>
  <c r="E16" i="21"/>
  <c r="D17" i="21"/>
  <c r="C18" i="21"/>
  <c r="B19" i="21"/>
  <c r="K35" i="14"/>
  <c r="K38" i="14"/>
  <c r="K14" i="14"/>
  <c r="K44" i="14"/>
  <c r="K23" i="14"/>
  <c r="K78" i="14"/>
  <c r="K26" i="14"/>
  <c r="K62" i="14"/>
  <c r="D17" i="7"/>
  <c r="K45" i="14"/>
  <c r="K43" i="14"/>
  <c r="K25" i="14"/>
  <c r="K27" i="14"/>
  <c r="K20" i="14"/>
  <c r="K24" i="14"/>
  <c r="K74" i="14"/>
  <c r="K18" i="14"/>
  <c r="K41" i="14"/>
  <c r="K36" i="14"/>
  <c r="K46" i="14"/>
  <c r="K52" i="14"/>
  <c r="D19" i="5"/>
  <c r="K42" i="14"/>
  <c r="K16" i="14"/>
  <c r="K31" i="14"/>
  <c r="K85" i="14"/>
  <c r="K50" i="14"/>
  <c r="K19" i="14"/>
  <c r="K29" i="14"/>
  <c r="K49" i="14"/>
  <c r="K28" i="14"/>
  <c r="K32" i="14"/>
  <c r="K72" i="14"/>
  <c r="D18" i="5"/>
  <c r="K64" i="14"/>
  <c r="K12" i="14"/>
  <c r="K47" i="14"/>
  <c r="K65" i="14"/>
  <c r="K15" i="14"/>
  <c r="K84" i="14"/>
  <c r="K39" i="14"/>
  <c r="K13" i="14"/>
  <c r="K33" i="14"/>
  <c r="K76" i="14"/>
  <c r="K56" i="14"/>
  <c r="K77" i="14"/>
  <c r="K59" i="14"/>
  <c r="K60" i="14"/>
  <c r="K80" i="14"/>
  <c r="K54" i="14"/>
  <c r="K48" i="14"/>
  <c r="K22" i="14"/>
  <c r="K86" i="14"/>
  <c r="K71" i="14"/>
  <c r="K51" i="14"/>
  <c r="K67" i="14"/>
  <c r="K17" i="14"/>
  <c r="K75" i="14"/>
  <c r="K21" i="14"/>
  <c r="K70" i="14"/>
  <c r="K30" i="14"/>
  <c r="K79" i="14"/>
  <c r="K73" i="14"/>
  <c r="K83" i="14"/>
  <c r="K53" i="14"/>
  <c r="K66" i="14"/>
  <c r="K81" i="14"/>
  <c r="K82" i="14"/>
  <c r="K40" i="14"/>
  <c r="K63" i="14"/>
  <c r="K58" i="14"/>
  <c r="K69" i="14"/>
  <c r="K57" i="14"/>
  <c r="J85" i="14" l="1"/>
  <c r="N30" i="14"/>
  <c r="P30" i="14" s="1"/>
  <c r="J24" i="14"/>
  <c r="J50" i="14"/>
  <c r="N8" i="13"/>
  <c r="O8" i="13" s="1"/>
  <c r="F8" i="13"/>
  <c r="G8" i="13" s="1"/>
  <c r="D23" i="15" s="1"/>
  <c r="J4" i="15"/>
  <c r="C15" i="15" s="1"/>
  <c r="F15" i="15" s="1"/>
  <c r="J64" i="14"/>
  <c r="M64" i="14" s="1"/>
  <c r="R64" i="14" s="1"/>
  <c r="J60" i="14"/>
  <c r="M60" i="14" s="1"/>
  <c r="R60" i="14" s="1"/>
  <c r="N52" i="14"/>
  <c r="P52" i="14" s="1"/>
  <c r="N49" i="14"/>
  <c r="P49" i="14" s="1"/>
  <c r="J29" i="14"/>
  <c r="J19" i="14"/>
  <c r="M19" i="14" s="1"/>
  <c r="R19" i="14" s="1"/>
  <c r="J74" i="14"/>
  <c r="M74" i="14" s="1"/>
  <c r="R74" i="14" s="1"/>
  <c r="N40" i="14"/>
  <c r="P40" i="14" s="1"/>
  <c r="L7" i="13"/>
  <c r="J4" i="17"/>
  <c r="C9" i="17" s="1"/>
  <c r="B6" i="31" s="1"/>
  <c r="L5" i="13"/>
  <c r="M5" i="13" s="1"/>
  <c r="Q5" i="13" s="1"/>
  <c r="F5" i="13"/>
  <c r="G5" i="13" s="1"/>
  <c r="D23" i="17" s="1"/>
  <c r="N80" i="14"/>
  <c r="P80" i="14" s="1"/>
  <c r="J5" i="13"/>
  <c r="N35" i="14"/>
  <c r="P35" i="14" s="1"/>
  <c r="J20" i="14"/>
  <c r="M20" i="14" s="1"/>
  <c r="R20" i="14" s="1"/>
  <c r="J75" i="14"/>
  <c r="M75" i="14" s="1"/>
  <c r="R75" i="14" s="1"/>
  <c r="J25" i="14"/>
  <c r="M25" i="14" s="1"/>
  <c r="R25" i="14" s="1"/>
  <c r="K7" i="13"/>
  <c r="P8" i="13"/>
  <c r="R8" i="13" s="1"/>
  <c r="S8" i="13" s="1"/>
  <c r="H23" i="15" s="1"/>
  <c r="J4" i="13"/>
  <c r="L25" i="14"/>
  <c r="Q25" i="14"/>
  <c r="Q40" i="14"/>
  <c r="L40" i="14"/>
  <c r="Q70" i="14"/>
  <c r="L70" i="14"/>
  <c r="L60" i="14"/>
  <c r="Q60" i="14"/>
  <c r="Q65" i="14"/>
  <c r="L65" i="14"/>
  <c r="L85" i="14"/>
  <c r="Q85" i="14"/>
  <c r="M70" i="14"/>
  <c r="R70" i="14" s="1"/>
  <c r="M65" i="14"/>
  <c r="R65" i="14" s="1"/>
  <c r="M40" i="14"/>
  <c r="R40" i="14" s="1"/>
  <c r="M85" i="14"/>
  <c r="R85" i="14" s="1"/>
  <c r="L75" i="14"/>
  <c r="Q75" i="14"/>
  <c r="Q45" i="14"/>
  <c r="L45" i="14"/>
  <c r="Q30" i="14"/>
  <c r="L30" i="14"/>
  <c r="Q80" i="14"/>
  <c r="L80" i="14"/>
  <c r="L15" i="14"/>
  <c r="Q15" i="14"/>
  <c r="L50" i="14"/>
  <c r="Q50" i="14"/>
  <c r="Q20" i="14"/>
  <c r="L20" i="14"/>
  <c r="Q35" i="14"/>
  <c r="L35" i="14"/>
  <c r="M15" i="14"/>
  <c r="R15" i="14" s="1"/>
  <c r="M50" i="14"/>
  <c r="R50" i="14" s="1"/>
  <c r="F7" i="13"/>
  <c r="G7" i="13" s="1"/>
  <c r="D23" i="19" s="1"/>
  <c r="M30" i="14"/>
  <c r="R30" i="14" s="1"/>
  <c r="M45" i="14"/>
  <c r="R45" i="14" s="1"/>
  <c r="M35" i="14"/>
  <c r="R35" i="14" s="1"/>
  <c r="M80" i="14"/>
  <c r="R80" i="14" s="1"/>
  <c r="N82" i="14"/>
  <c r="P82" i="14" s="1"/>
  <c r="J26" i="14"/>
  <c r="M26" i="14" s="1"/>
  <c r="R26" i="14" s="1"/>
  <c r="N84" i="14"/>
  <c r="P84" i="14" s="1"/>
  <c r="J57" i="14"/>
  <c r="M57" i="14" s="1"/>
  <c r="R57" i="14" s="1"/>
  <c r="J4" i="18"/>
  <c r="C14" i="18" s="1"/>
  <c r="Q38" i="14"/>
  <c r="L38" i="14"/>
  <c r="L6" i="13"/>
  <c r="J6" i="13"/>
  <c r="J39" i="14"/>
  <c r="M39" i="14" s="1"/>
  <c r="R39" i="14" s="1"/>
  <c r="J32" i="14"/>
  <c r="M32" i="14" s="1"/>
  <c r="R32" i="14" s="1"/>
  <c r="K6" i="13"/>
  <c r="J38" i="14"/>
  <c r="M38" i="14" s="1"/>
  <c r="R38" i="14" s="1"/>
  <c r="Q24" i="14"/>
  <c r="L24" i="14"/>
  <c r="J47" i="14"/>
  <c r="M47" i="14" s="1"/>
  <c r="R47" i="14" s="1"/>
  <c r="N59" i="14"/>
  <c r="P59" i="14" s="1"/>
  <c r="J17" i="14"/>
  <c r="M17" i="14" s="1"/>
  <c r="R17" i="14" s="1"/>
  <c r="J62" i="14"/>
  <c r="M62" i="14" s="1"/>
  <c r="R62" i="14" s="1"/>
  <c r="N77" i="14"/>
  <c r="P77" i="14" s="1"/>
  <c r="M24" i="14"/>
  <c r="R24" i="14" s="1"/>
  <c r="L19" i="14"/>
  <c r="Q19" i="14"/>
  <c r="J14" i="14"/>
  <c r="M14" i="14" s="1"/>
  <c r="R14" i="14" s="1"/>
  <c r="J69" i="14"/>
  <c r="M69" i="14" s="1"/>
  <c r="R69" i="14" s="1"/>
  <c r="L84" i="14"/>
  <c r="Q84" i="14"/>
  <c r="M84" i="14"/>
  <c r="R84" i="14" s="1"/>
  <c r="L54" i="14"/>
  <c r="Q54" i="14"/>
  <c r="M54" i="14"/>
  <c r="R54" i="14" s="1"/>
  <c r="L44" i="14"/>
  <c r="Q44" i="14"/>
  <c r="Q59" i="14"/>
  <c r="L59" i="14"/>
  <c r="L64" i="14"/>
  <c r="Q64" i="14"/>
  <c r="Q73" i="14"/>
  <c r="L73" i="14"/>
  <c r="L48" i="14"/>
  <c r="Q48" i="14"/>
  <c r="L39" i="14"/>
  <c r="Q39" i="14"/>
  <c r="L29" i="14"/>
  <c r="Q29" i="14"/>
  <c r="Q74" i="14"/>
  <c r="L74" i="14"/>
  <c r="L14" i="14"/>
  <c r="Q14" i="14"/>
  <c r="L69" i="14"/>
  <c r="Q69" i="14"/>
  <c r="Q63" i="14"/>
  <c r="L63" i="14"/>
  <c r="L79" i="14"/>
  <c r="Q79" i="14"/>
  <c r="M59" i="14"/>
  <c r="R59" i="14" s="1"/>
  <c r="M63" i="14"/>
  <c r="R63" i="14" s="1"/>
  <c r="J27" i="14"/>
  <c r="M27" i="14" s="1"/>
  <c r="R27" i="14" s="1"/>
  <c r="M29" i="14"/>
  <c r="R29" i="14" s="1"/>
  <c r="J73" i="14"/>
  <c r="M73" i="14" s="1"/>
  <c r="R73" i="14" s="1"/>
  <c r="M48" i="14"/>
  <c r="R48" i="14" s="1"/>
  <c r="J44" i="14"/>
  <c r="M44" i="14" s="1"/>
  <c r="R44" i="14" s="1"/>
  <c r="S61" i="14"/>
  <c r="T61" i="14" s="1"/>
  <c r="N48" i="14"/>
  <c r="P48" i="14" s="1"/>
  <c r="N44" i="14"/>
  <c r="P44" i="14" s="1"/>
  <c r="M79" i="14"/>
  <c r="R79" i="14" s="1"/>
  <c r="N63" i="14"/>
  <c r="P63" i="14" s="1"/>
  <c r="L22" i="14"/>
  <c r="Q22" i="14"/>
  <c r="L13" i="14"/>
  <c r="Q13" i="14"/>
  <c r="L49" i="14"/>
  <c r="Q49" i="14"/>
  <c r="L18" i="14"/>
  <c r="Q18" i="14"/>
  <c r="M49" i="14"/>
  <c r="R49" i="14" s="1"/>
  <c r="M18" i="14"/>
  <c r="R18" i="14" s="1"/>
  <c r="N13" i="14"/>
  <c r="P13" i="14" s="1"/>
  <c r="F4" i="13"/>
  <c r="G4" i="13" s="1"/>
  <c r="D23" i="16" s="1"/>
  <c r="L4" i="13"/>
  <c r="N12" i="14"/>
  <c r="P12" i="14" s="1"/>
  <c r="M22" i="14"/>
  <c r="R22" i="14" s="1"/>
  <c r="K4" i="13"/>
  <c r="J13" i="14"/>
  <c r="M13" i="14" s="1"/>
  <c r="R13" i="14" s="1"/>
  <c r="N18" i="14"/>
  <c r="P18" i="14" s="1"/>
  <c r="L78" i="14"/>
  <c r="Q78" i="14"/>
  <c r="L47" i="14"/>
  <c r="Q47" i="14"/>
  <c r="L58" i="14"/>
  <c r="Q58" i="14"/>
  <c r="Q53" i="14"/>
  <c r="L53" i="14"/>
  <c r="Q86" i="14"/>
  <c r="L86" i="14"/>
  <c r="L33" i="14"/>
  <c r="Q33" i="14"/>
  <c r="Q28" i="14"/>
  <c r="L28" i="14"/>
  <c r="Q41" i="14"/>
  <c r="L41" i="14"/>
  <c r="L23" i="14"/>
  <c r="Q23" i="14"/>
  <c r="Q31" i="14"/>
  <c r="L31" i="14"/>
  <c r="Q43" i="14"/>
  <c r="L43" i="14"/>
  <c r="Q83" i="14"/>
  <c r="L83" i="14"/>
  <c r="J78" i="14"/>
  <c r="M78" i="14" s="1"/>
  <c r="R78" i="14" s="1"/>
  <c r="N58" i="14"/>
  <c r="P58" i="14" s="1"/>
  <c r="J53" i="14"/>
  <c r="M53" i="14" s="1"/>
  <c r="R53" i="14" s="1"/>
  <c r="J86" i="14"/>
  <c r="M86" i="14" s="1"/>
  <c r="R86" i="14" s="1"/>
  <c r="J33" i="14"/>
  <c r="M33" i="14" s="1"/>
  <c r="R33" i="14" s="1"/>
  <c r="N33" i="14"/>
  <c r="P33" i="14" s="1"/>
  <c r="J28" i="14"/>
  <c r="M28" i="14" s="1"/>
  <c r="R28" i="14" s="1"/>
  <c r="J41" i="14"/>
  <c r="M41" i="14" s="1"/>
  <c r="R41" i="14" s="1"/>
  <c r="J23" i="14"/>
  <c r="M23" i="14" s="1"/>
  <c r="R23" i="14" s="1"/>
  <c r="S68" i="14"/>
  <c r="M58" i="14"/>
  <c r="R58" i="14" s="1"/>
  <c r="J31" i="14"/>
  <c r="M31" i="14" s="1"/>
  <c r="R31" i="14" s="1"/>
  <c r="N43" i="14"/>
  <c r="P43" i="14" s="1"/>
  <c r="J43" i="14"/>
  <c r="M43" i="14" s="1"/>
  <c r="R43" i="14" s="1"/>
  <c r="N83" i="14"/>
  <c r="P83" i="14" s="1"/>
  <c r="J83" i="14"/>
  <c r="M83" i="14" s="1"/>
  <c r="R83" i="14" s="1"/>
  <c r="L21" i="14"/>
  <c r="Q21" i="14"/>
  <c r="L17" i="14"/>
  <c r="Q17" i="14"/>
  <c r="Q81" i="14"/>
  <c r="L81" i="14"/>
  <c r="Q51" i="14"/>
  <c r="L51" i="14"/>
  <c r="L56" i="14"/>
  <c r="Q56" i="14"/>
  <c r="Q72" i="14"/>
  <c r="L72" i="14"/>
  <c r="Q46" i="14"/>
  <c r="L46" i="14"/>
  <c r="Q26" i="14"/>
  <c r="L26" i="14"/>
  <c r="L27" i="14"/>
  <c r="Q27" i="14"/>
  <c r="Q16" i="14"/>
  <c r="L16" i="14"/>
  <c r="L66" i="14"/>
  <c r="Q66" i="14"/>
  <c r="L71" i="14"/>
  <c r="Q71" i="14"/>
  <c r="L76" i="14"/>
  <c r="Q76" i="14"/>
  <c r="L32" i="14"/>
  <c r="Q32" i="14"/>
  <c r="L36" i="14"/>
  <c r="Q36" i="14"/>
  <c r="J21" i="14"/>
  <c r="M21" i="14" s="1"/>
  <c r="R21" i="14" s="1"/>
  <c r="M46" i="14"/>
  <c r="R46" i="14" s="1"/>
  <c r="N81" i="14"/>
  <c r="P81" i="14" s="1"/>
  <c r="N51" i="14"/>
  <c r="P51" i="14" s="1"/>
  <c r="N56" i="14"/>
  <c r="P56" i="14" s="1"/>
  <c r="J56" i="14"/>
  <c r="M56" i="14" s="1"/>
  <c r="R56" i="14" s="1"/>
  <c r="N46" i="14"/>
  <c r="P46" i="14" s="1"/>
  <c r="M16" i="14"/>
  <c r="R16" i="14" s="1"/>
  <c r="N16" i="14"/>
  <c r="P16" i="14" s="1"/>
  <c r="J66" i="14"/>
  <c r="M66" i="14" s="1"/>
  <c r="R66" i="14" s="1"/>
  <c r="N66" i="14"/>
  <c r="P66" i="14" s="1"/>
  <c r="J71" i="14"/>
  <c r="M71" i="14" s="1"/>
  <c r="R71" i="14" s="1"/>
  <c r="N76" i="14"/>
  <c r="P76" i="14" s="1"/>
  <c r="J72" i="14"/>
  <c r="M72" i="14" s="1"/>
  <c r="R72" i="14" s="1"/>
  <c r="H8" i="13"/>
  <c r="N67" i="14"/>
  <c r="P67" i="14" s="1"/>
  <c r="J76" i="14"/>
  <c r="M76" i="14" s="1"/>
  <c r="R76" i="14" s="1"/>
  <c r="N72" i="14"/>
  <c r="P72" i="14" s="1"/>
  <c r="M51" i="14"/>
  <c r="R51" i="14" s="1"/>
  <c r="M81" i="14"/>
  <c r="R81" i="14" s="1"/>
  <c r="N36" i="14"/>
  <c r="P36" i="14" s="1"/>
  <c r="J36" i="14"/>
  <c r="M36" i="14" s="1"/>
  <c r="R36" i="14" s="1"/>
  <c r="L57" i="14"/>
  <c r="Q57" i="14"/>
  <c r="Q12" i="14"/>
  <c r="L12" i="14"/>
  <c r="Q82" i="14"/>
  <c r="L82" i="14"/>
  <c r="Q67" i="14"/>
  <c r="L67" i="14"/>
  <c r="Q77" i="14"/>
  <c r="L77" i="14"/>
  <c r="Q42" i="14"/>
  <c r="L42" i="14"/>
  <c r="L52" i="14"/>
  <c r="Q52" i="14"/>
  <c r="Q62" i="14"/>
  <c r="L62" i="14"/>
  <c r="M77" i="14"/>
  <c r="R77" i="14" s="1"/>
  <c r="S77" i="14" s="1"/>
  <c r="M82" i="14"/>
  <c r="R82" i="14" s="1"/>
  <c r="M52" i="14"/>
  <c r="R52" i="14" s="1"/>
  <c r="M12" i="14"/>
  <c r="R12" i="14" s="1"/>
  <c r="M67" i="14"/>
  <c r="R67" i="14" s="1"/>
  <c r="B36" i="6"/>
  <c r="K7" i="9" s="1"/>
  <c r="O7" i="9" s="1"/>
  <c r="B36" i="8"/>
  <c r="K6" i="9" s="1"/>
  <c r="O6" i="9" s="1"/>
  <c r="M42" i="14"/>
  <c r="R42" i="14" s="1"/>
  <c r="E18" i="5"/>
  <c r="G18" i="5"/>
  <c r="H18" i="5" s="1"/>
  <c r="E19" i="5"/>
  <c r="G19" i="5"/>
  <c r="H19" i="5" s="1"/>
  <c r="E17" i="7"/>
  <c r="G17" i="7"/>
  <c r="H17" i="7" s="1"/>
  <c r="K30" i="7"/>
  <c r="Q30" i="5"/>
  <c r="Q31" i="5" s="1"/>
  <c r="Q32" i="5" s="1"/>
  <c r="Q33" i="5" s="1"/>
  <c r="Q34" i="5" s="1"/>
  <c r="Q35" i="5" s="1"/>
  <c r="Q36" i="5" s="1"/>
  <c r="Q37" i="5" s="1"/>
  <c r="Q38" i="5" s="1"/>
  <c r="Q39" i="5" s="1"/>
  <c r="Q40" i="5" s="1"/>
  <c r="U30" i="4"/>
  <c r="S30" i="5"/>
  <c r="S31" i="5" s="1"/>
  <c r="S32" i="5" s="1"/>
  <c r="S33" i="5" s="1"/>
  <c r="S34" i="5" s="1"/>
  <c r="S35" i="5" s="1"/>
  <c r="S36" i="5" s="1"/>
  <c r="S37" i="5" s="1"/>
  <c r="S38" i="5" s="1"/>
  <c r="S39" i="5" s="1"/>
  <c r="S40" i="5" s="1"/>
  <c r="M30" i="7"/>
  <c r="O30" i="7"/>
  <c r="O31" i="7" s="1"/>
  <c r="O32" i="7" s="1"/>
  <c r="O33" i="7" s="1"/>
  <c r="O34" i="7" s="1"/>
  <c r="O35" i="7" s="1"/>
  <c r="O36" i="7" s="1"/>
  <c r="O37" i="7" s="1"/>
  <c r="O38" i="7" s="1"/>
  <c r="O39" i="7" s="1"/>
  <c r="O40" i="7" s="1"/>
  <c r="AC30" i="4"/>
  <c r="S34" i="14"/>
  <c r="J7" i="30"/>
  <c r="C10" i="16"/>
  <c r="C14" i="16"/>
  <c r="C11" i="16"/>
  <c r="C9" i="16"/>
  <c r="C13" i="16"/>
  <c r="C8" i="16"/>
  <c r="C19" i="16"/>
  <c r="C18" i="16"/>
  <c r="C15" i="16"/>
  <c r="C12" i="16"/>
  <c r="C17" i="16"/>
  <c r="C16" i="16"/>
  <c r="AE30" i="5"/>
  <c r="W30" i="5"/>
  <c r="Y30" i="4"/>
  <c r="W30" i="4"/>
  <c r="Y30" i="5"/>
  <c r="S37" i="14"/>
  <c r="AA30" i="4"/>
  <c r="AE30" i="4"/>
  <c r="U30" i="5"/>
  <c r="AC30" i="5"/>
  <c r="S55" i="14"/>
  <c r="H6" i="13"/>
  <c r="G6" i="13"/>
  <c r="D23" i="18" s="1"/>
  <c r="J7" i="33"/>
  <c r="C9" i="19"/>
  <c r="C13" i="19"/>
  <c r="C15" i="19"/>
  <c r="C14" i="19"/>
  <c r="C16" i="19"/>
  <c r="C8" i="19"/>
  <c r="C19" i="19"/>
  <c r="C17" i="19"/>
  <c r="C11" i="19"/>
  <c r="C10" i="19"/>
  <c r="C12" i="19"/>
  <c r="C18" i="19"/>
  <c r="B20" i="21"/>
  <c r="C19" i="21"/>
  <c r="D18" i="21"/>
  <c r="E17" i="21"/>
  <c r="D20" i="5"/>
  <c r="C20" i="4"/>
  <c r="C17" i="15" l="1"/>
  <c r="F17" i="15" s="1"/>
  <c r="C10" i="15"/>
  <c r="F10" i="15" s="1"/>
  <c r="C9" i="15"/>
  <c r="F9" i="15" s="1"/>
  <c r="J7" i="29"/>
  <c r="B12" i="29"/>
  <c r="C19" i="15"/>
  <c r="B16" i="29" s="1"/>
  <c r="C13" i="15"/>
  <c r="B10" i="29" s="1"/>
  <c r="C8" i="15"/>
  <c r="B5" i="29" s="1"/>
  <c r="C11" i="15"/>
  <c r="F11" i="15" s="1"/>
  <c r="H11" i="15" s="1"/>
  <c r="C16" i="15"/>
  <c r="B13" i="29" s="1"/>
  <c r="C12" i="15"/>
  <c r="B9" i="29" s="1"/>
  <c r="C18" i="15"/>
  <c r="F18" i="15" s="1"/>
  <c r="C14" i="15"/>
  <c r="B11" i="29" s="1"/>
  <c r="C18" i="17"/>
  <c r="F18" i="17" s="1"/>
  <c r="G18" i="17" s="1"/>
  <c r="C17" i="17"/>
  <c r="B14" i="31" s="1"/>
  <c r="C15" i="17"/>
  <c r="F15" i="17" s="1"/>
  <c r="G15" i="17" s="1"/>
  <c r="C12" i="17"/>
  <c r="B9" i="31" s="1"/>
  <c r="C19" i="17"/>
  <c r="F19" i="17" s="1"/>
  <c r="C14" i="17"/>
  <c r="B11" i="31" s="1"/>
  <c r="M7" i="13"/>
  <c r="Q7" i="13" s="1"/>
  <c r="C16" i="17"/>
  <c r="B13" i="31" s="1"/>
  <c r="F9" i="17"/>
  <c r="G9" i="17" s="1"/>
  <c r="C10" i="17"/>
  <c r="B7" i="31" s="1"/>
  <c r="C11" i="17"/>
  <c r="B8" i="31" s="1"/>
  <c r="J7" i="31"/>
  <c r="C8" i="17"/>
  <c r="F8" i="17" s="1"/>
  <c r="C13" i="17"/>
  <c r="B10" i="31" s="1"/>
  <c r="H5" i="13"/>
  <c r="C104" i="11" s="1"/>
  <c r="P5" i="13"/>
  <c r="R5" i="13" s="1"/>
  <c r="S5" i="13" s="1"/>
  <c r="H23" i="17" s="1"/>
  <c r="N5" i="13"/>
  <c r="O5" i="13" s="1"/>
  <c r="S25" i="14"/>
  <c r="U25" i="14" s="1"/>
  <c r="F91" i="14" s="1"/>
  <c r="S50" i="14"/>
  <c r="U50" i="14" s="1"/>
  <c r="S70" i="14"/>
  <c r="T70" i="14" s="1"/>
  <c r="S85" i="14"/>
  <c r="U85" i="14" s="1"/>
  <c r="F95" i="14" s="1"/>
  <c r="S30" i="14"/>
  <c r="U30" i="14" s="1"/>
  <c r="E92" i="14" s="1"/>
  <c r="H7" i="13"/>
  <c r="I7" i="13" s="1"/>
  <c r="F23" i="19" s="1"/>
  <c r="S45" i="14"/>
  <c r="U45" i="14" s="1"/>
  <c r="E93" i="14" s="1"/>
  <c r="C9" i="18"/>
  <c r="B6" i="32" s="1"/>
  <c r="S65" i="14"/>
  <c r="T65" i="14" s="1"/>
  <c r="C13" i="18"/>
  <c r="B10" i="32" s="1"/>
  <c r="T8" i="13"/>
  <c r="B253" i="11" s="1"/>
  <c r="S75" i="14"/>
  <c r="U75" i="14" s="1"/>
  <c r="E95" i="14" s="1"/>
  <c r="C12" i="18"/>
  <c r="F12" i="18" s="1"/>
  <c r="H12" i="18" s="1"/>
  <c r="C18" i="18"/>
  <c r="F18" i="18" s="1"/>
  <c r="H18" i="18" s="1"/>
  <c r="S20" i="14"/>
  <c r="U20" i="14" s="1"/>
  <c r="S15" i="14"/>
  <c r="T15" i="14" s="1"/>
  <c r="S35" i="14"/>
  <c r="U35" i="14" s="1"/>
  <c r="S40" i="14"/>
  <c r="U40" i="14" s="1"/>
  <c r="F92" i="14" s="1"/>
  <c r="S60" i="14"/>
  <c r="T60" i="14" s="1"/>
  <c r="S19" i="14"/>
  <c r="T19" i="14" s="1"/>
  <c r="S29" i="14"/>
  <c r="U29" i="14" s="1"/>
  <c r="S38" i="14"/>
  <c r="T38" i="14" s="1"/>
  <c r="S80" i="14"/>
  <c r="U80" i="14" s="1"/>
  <c r="C19" i="18"/>
  <c r="B16" i="32" s="1"/>
  <c r="J7" i="32"/>
  <c r="C17" i="18"/>
  <c r="F17" i="18" s="1"/>
  <c r="H17" i="18" s="1"/>
  <c r="B269" i="11"/>
  <c r="C8" i="18"/>
  <c r="B5" i="32" s="1"/>
  <c r="C16" i="18"/>
  <c r="F16" i="18" s="1"/>
  <c r="H16" i="18" s="1"/>
  <c r="C11" i="18"/>
  <c r="F11" i="18" s="1"/>
  <c r="G11" i="18" s="1"/>
  <c r="C15" i="18"/>
  <c r="F15" i="18" s="1"/>
  <c r="G15" i="18" s="1"/>
  <c r="C10" i="18"/>
  <c r="B7" i="32" s="1"/>
  <c r="B14" i="29"/>
  <c r="M6" i="13"/>
  <c r="P6" i="13" s="1"/>
  <c r="R6" i="13" s="1"/>
  <c r="S6" i="13" s="1"/>
  <c r="H23" i="18" s="1"/>
  <c r="S24" i="14"/>
  <c r="T24" i="14" s="1"/>
  <c r="S84" i="14"/>
  <c r="T84" i="14" s="1"/>
  <c r="S59" i="14"/>
  <c r="T59" i="14" s="1"/>
  <c r="S48" i="14"/>
  <c r="U48" i="14" s="1"/>
  <c r="B8" i="29"/>
  <c r="S44" i="14"/>
  <c r="T44" i="14" s="1"/>
  <c r="S78" i="14"/>
  <c r="T78" i="14" s="1"/>
  <c r="S56" i="14"/>
  <c r="T56" i="14" s="1"/>
  <c r="S23" i="14"/>
  <c r="U23" i="14" s="1"/>
  <c r="S86" i="14"/>
  <c r="U86" i="14" s="1"/>
  <c r="F12" i="15"/>
  <c r="H12" i="15" s="1"/>
  <c r="S17" i="14"/>
  <c r="U17" i="14" s="1"/>
  <c r="S43" i="14"/>
  <c r="T43" i="14" s="1"/>
  <c r="S22" i="14"/>
  <c r="U22" i="14" s="1"/>
  <c r="D91" i="14" s="1"/>
  <c r="S54" i="14"/>
  <c r="U54" i="14" s="1"/>
  <c r="S32" i="14"/>
  <c r="T32" i="14" s="1"/>
  <c r="U61" i="14"/>
  <c r="B94" i="14" s="1"/>
  <c r="F13" i="17"/>
  <c r="H13" i="17" s="1"/>
  <c r="S18" i="14"/>
  <c r="U18" i="14" s="1"/>
  <c r="S14" i="14"/>
  <c r="U14" i="14" s="1"/>
  <c r="S63" i="14"/>
  <c r="T63" i="14" s="1"/>
  <c r="S46" i="14"/>
  <c r="U46" i="14" s="1"/>
  <c r="B93" i="14" s="1"/>
  <c r="S42" i="14"/>
  <c r="U42" i="14" s="1"/>
  <c r="C93" i="14" s="1"/>
  <c r="S12" i="14"/>
  <c r="U12" i="14" s="1"/>
  <c r="C91" i="14" s="1"/>
  <c r="S27" i="14"/>
  <c r="T27" i="14" s="1"/>
  <c r="S67" i="14"/>
  <c r="T67" i="14" s="1"/>
  <c r="S52" i="14"/>
  <c r="U52" i="14" s="1"/>
  <c r="D93" i="14" s="1"/>
  <c r="S83" i="14"/>
  <c r="U83" i="14" s="1"/>
  <c r="S41" i="14"/>
  <c r="U41" i="14" s="1"/>
  <c r="S53" i="14"/>
  <c r="T53" i="14" s="1"/>
  <c r="S13" i="14"/>
  <c r="U13" i="14" s="1"/>
  <c r="S49" i="14"/>
  <c r="T49" i="14" s="1"/>
  <c r="S69" i="14"/>
  <c r="U69" i="14" s="1"/>
  <c r="S79" i="14"/>
  <c r="T79" i="14" s="1"/>
  <c r="S74" i="14"/>
  <c r="U74" i="14" s="1"/>
  <c r="B6" i="29"/>
  <c r="S64" i="14"/>
  <c r="T64" i="14" s="1"/>
  <c r="S73" i="14"/>
  <c r="U73" i="14" s="1"/>
  <c r="S47" i="14"/>
  <c r="U47" i="14" s="1"/>
  <c r="S39" i="14"/>
  <c r="U39" i="14" s="1"/>
  <c r="B7" i="29"/>
  <c r="S58" i="14"/>
  <c r="T58" i="14" s="1"/>
  <c r="S33" i="14"/>
  <c r="T33" i="14" s="1"/>
  <c r="S76" i="14"/>
  <c r="U76" i="14" s="1"/>
  <c r="B95" i="14" s="1"/>
  <c r="S31" i="14"/>
  <c r="T31" i="14" s="1"/>
  <c r="M4" i="13"/>
  <c r="P4" i="13" s="1"/>
  <c r="R4" i="13" s="1"/>
  <c r="S4" i="13" s="1"/>
  <c r="H23" i="16" s="1"/>
  <c r="S36" i="14"/>
  <c r="T36" i="14" s="1"/>
  <c r="S82" i="14"/>
  <c r="U82" i="14" s="1"/>
  <c r="D95" i="14" s="1"/>
  <c r="S57" i="14"/>
  <c r="U57" i="14" s="1"/>
  <c r="C94" i="14" s="1"/>
  <c r="S66" i="14"/>
  <c r="U66" i="14" s="1"/>
  <c r="S28" i="14"/>
  <c r="T28" i="14" s="1"/>
  <c r="B5" i="31"/>
  <c r="H4" i="13"/>
  <c r="C55" i="11" s="1"/>
  <c r="I8" i="13"/>
  <c r="F23" i="15" s="1"/>
  <c r="S21" i="14"/>
  <c r="T21" i="14" s="1"/>
  <c r="C251" i="11"/>
  <c r="S81" i="14"/>
  <c r="U81" i="14" s="1"/>
  <c r="S26" i="14"/>
  <c r="U26" i="14" s="1"/>
  <c r="S51" i="14"/>
  <c r="T51" i="14" s="1"/>
  <c r="O4" i="15"/>
  <c r="J8" i="29" s="1"/>
  <c r="B16" i="31"/>
  <c r="T68" i="14"/>
  <c r="U68" i="14"/>
  <c r="S62" i="14"/>
  <c r="T62" i="14" s="1"/>
  <c r="S72" i="14"/>
  <c r="U72" i="14" s="1"/>
  <c r="C95" i="14" s="1"/>
  <c r="S16" i="14"/>
  <c r="U16" i="14" s="1"/>
  <c r="B91" i="14" s="1"/>
  <c r="S71" i="14"/>
  <c r="T71" i="14" s="1"/>
  <c r="B15" i="29"/>
  <c r="F14" i="17"/>
  <c r="G14" i="17" s="1"/>
  <c r="F12" i="17"/>
  <c r="G12" i="17" s="1"/>
  <c r="F8" i="15"/>
  <c r="H8" i="15" s="1"/>
  <c r="D20" i="4"/>
  <c r="F20" i="4"/>
  <c r="G20" i="4" s="1"/>
  <c r="G20" i="5"/>
  <c r="H20" i="5" s="1"/>
  <c r="E20" i="5"/>
  <c r="U31" i="4"/>
  <c r="U32" i="4" s="1"/>
  <c r="U33" i="4" s="1"/>
  <c r="U34" i="4" s="1"/>
  <c r="U35" i="4" s="1"/>
  <c r="U36" i="4" s="1"/>
  <c r="U37" i="4" s="1"/>
  <c r="U38" i="4" s="1"/>
  <c r="U39" i="4" s="1"/>
  <c r="U40" i="4" s="1"/>
  <c r="K31" i="7"/>
  <c r="W31" i="4"/>
  <c r="F16" i="15"/>
  <c r="H16" i="15" s="1"/>
  <c r="U31" i="5"/>
  <c r="U32" i="5" s="1"/>
  <c r="U33" i="5" s="1"/>
  <c r="U34" i="5" s="1"/>
  <c r="U35" i="5" s="1"/>
  <c r="U36" i="5" s="1"/>
  <c r="U37" i="5" s="1"/>
  <c r="U38" i="5" s="1"/>
  <c r="U39" i="5" s="1"/>
  <c r="U40" i="5" s="1"/>
  <c r="W31" i="5"/>
  <c r="M31" i="7"/>
  <c r="B10" i="33"/>
  <c r="F13" i="19"/>
  <c r="H13" i="19" s="1"/>
  <c r="K9" i="15"/>
  <c r="G9" i="15"/>
  <c r="G8" i="17"/>
  <c r="G10" i="15"/>
  <c r="K10" i="15"/>
  <c r="B13" i="30"/>
  <c r="F16" i="16"/>
  <c r="H16" i="16" s="1"/>
  <c r="B8" i="33"/>
  <c r="F11" i="19"/>
  <c r="F9" i="19"/>
  <c r="B6" i="33"/>
  <c r="AC31" i="5"/>
  <c r="H19" i="17"/>
  <c r="G19" i="17"/>
  <c r="B14" i="30"/>
  <c r="F17" i="16"/>
  <c r="H17" i="16" s="1"/>
  <c r="B8" i="30"/>
  <c r="F11" i="16"/>
  <c r="H11" i="16" s="1"/>
  <c r="H17" i="15"/>
  <c r="G17" i="15"/>
  <c r="K17" i="15"/>
  <c r="Y31" i="4"/>
  <c r="AE31" i="5"/>
  <c r="B9" i="30"/>
  <c r="F12" i="16"/>
  <c r="B11" i="30"/>
  <c r="F14" i="16"/>
  <c r="H14" i="16" s="1"/>
  <c r="B16" i="33"/>
  <c r="F19" i="19"/>
  <c r="H19" i="19" s="1"/>
  <c r="H18" i="15"/>
  <c r="K18" i="15"/>
  <c r="G18" i="15"/>
  <c r="B12" i="30"/>
  <c r="F15" i="16"/>
  <c r="H15" i="16" s="1"/>
  <c r="B7" i="30"/>
  <c r="F10" i="16"/>
  <c r="B11" i="32"/>
  <c r="F14" i="18"/>
  <c r="U55" i="14"/>
  <c r="F93" i="14" s="1"/>
  <c r="T55" i="14"/>
  <c r="Y31" i="5"/>
  <c r="B15" i="30"/>
  <c r="F18" i="16"/>
  <c r="H18" i="16" s="1"/>
  <c r="T77" i="14"/>
  <c r="U77" i="14"/>
  <c r="H15" i="15"/>
  <c r="K15" i="15"/>
  <c r="G15" i="15"/>
  <c r="AA31" i="4"/>
  <c r="G11" i="15"/>
  <c r="K11" i="15"/>
  <c r="B13" i="33"/>
  <c r="F16" i="19"/>
  <c r="H16" i="19" s="1"/>
  <c r="T37" i="14"/>
  <c r="U37" i="14"/>
  <c r="D92" i="14" s="1"/>
  <c r="B16" i="30"/>
  <c r="F19" i="16"/>
  <c r="B7" i="33"/>
  <c r="F10" i="19"/>
  <c r="H10" i="19" s="1"/>
  <c r="B5" i="33"/>
  <c r="F8" i="19"/>
  <c r="H8" i="19" s="1"/>
  <c r="C21" i="19"/>
  <c r="B17" i="33" s="1"/>
  <c r="B15" i="33"/>
  <c r="F18" i="19"/>
  <c r="H18" i="19" s="1"/>
  <c r="B11" i="33"/>
  <c r="F14" i="19"/>
  <c r="H8" i="17"/>
  <c r="B5" i="30"/>
  <c r="C21" i="16"/>
  <c r="B17" i="30" s="1"/>
  <c r="F8" i="16"/>
  <c r="H8" i="16" s="1"/>
  <c r="B14" i="33"/>
  <c r="F17" i="19"/>
  <c r="H17" i="19" s="1"/>
  <c r="B9" i="33"/>
  <c r="F12" i="19"/>
  <c r="H12" i="19" s="1"/>
  <c r="B12" i="33"/>
  <c r="F15" i="19"/>
  <c r="H15" i="19" s="1"/>
  <c r="C153" i="11"/>
  <c r="I6" i="13"/>
  <c r="F23" i="18" s="1"/>
  <c r="O4" i="18"/>
  <c r="J8" i="32" s="1"/>
  <c r="H9" i="15"/>
  <c r="AE31" i="4"/>
  <c r="H10" i="15"/>
  <c r="B10" i="30"/>
  <c r="F13" i="16"/>
  <c r="H13" i="16" s="1"/>
  <c r="U34" i="14"/>
  <c r="T34" i="14"/>
  <c r="AC31" i="4"/>
  <c r="B6" i="30"/>
  <c r="F9" i="16"/>
  <c r="H9" i="16" s="1"/>
  <c r="E18" i="21"/>
  <c r="D19" i="21"/>
  <c r="C20" i="21"/>
  <c r="B21" i="21"/>
  <c r="C21" i="4"/>
  <c r="D21" i="5"/>
  <c r="D16" i="7"/>
  <c r="D22" i="5"/>
  <c r="B15" i="31" l="1"/>
  <c r="H18" i="17"/>
  <c r="J18" i="17" s="1"/>
  <c r="K18" i="17" s="1"/>
  <c r="T35" i="14"/>
  <c r="H9" i="17"/>
  <c r="J9" i="17" s="1"/>
  <c r="T25" i="14"/>
  <c r="F19" i="15"/>
  <c r="H19" i="15" s="1"/>
  <c r="U65" i="14"/>
  <c r="F13" i="15"/>
  <c r="H13" i="15" s="1"/>
  <c r="H21" i="15" s="1"/>
  <c r="F11" i="17"/>
  <c r="H11" i="17" s="1"/>
  <c r="U78" i="14"/>
  <c r="H15" i="17"/>
  <c r="J15" i="17" s="1"/>
  <c r="K15" i="17" s="1"/>
  <c r="F10" i="17"/>
  <c r="H10" i="17" s="1"/>
  <c r="F17" i="17"/>
  <c r="G17" i="17" s="1"/>
  <c r="F10" i="18"/>
  <c r="H10" i="18" s="1"/>
  <c r="T40" i="14"/>
  <c r="B12" i="31"/>
  <c r="B14" i="32"/>
  <c r="F14" i="15"/>
  <c r="H14" i="15" s="1"/>
  <c r="C21" i="15"/>
  <c r="B17" i="29" s="1"/>
  <c r="T29" i="14"/>
  <c r="U24" i="14"/>
  <c r="B9" i="32"/>
  <c r="F8" i="18"/>
  <c r="H8" i="18" s="1"/>
  <c r="T30" i="14"/>
  <c r="O4" i="19"/>
  <c r="J8" i="33" s="1"/>
  <c r="K12" i="15"/>
  <c r="L12" i="15" s="1"/>
  <c r="C202" i="11"/>
  <c r="N7" i="13"/>
  <c r="O7" i="13" s="1"/>
  <c r="P7" i="13"/>
  <c r="R7" i="13" s="1"/>
  <c r="S7" i="13" s="1"/>
  <c r="H23" i="19" s="1"/>
  <c r="B15" i="32"/>
  <c r="F16" i="17"/>
  <c r="G16" i="17" s="1"/>
  <c r="C21" i="17"/>
  <c r="B17" i="31" s="1"/>
  <c r="T45" i="14"/>
  <c r="I5" i="13"/>
  <c r="F23" i="17" s="1"/>
  <c r="T54" i="14"/>
  <c r="T47" i="14"/>
  <c r="T42" i="14"/>
  <c r="U70" i="14"/>
  <c r="F94" i="14" s="1"/>
  <c r="B262" i="11"/>
  <c r="O4" i="17"/>
  <c r="J8" i="31" s="1"/>
  <c r="B13" i="32"/>
  <c r="T5" i="13"/>
  <c r="B125" i="11" s="1"/>
  <c r="T85" i="14"/>
  <c r="T22" i="14"/>
  <c r="F9" i="18"/>
  <c r="G9" i="18" s="1"/>
  <c r="F19" i="18"/>
  <c r="U15" i="14"/>
  <c r="E91" i="14" s="1"/>
  <c r="B12" i="32"/>
  <c r="F13" i="18"/>
  <c r="G13" i="18" s="1"/>
  <c r="T50" i="14"/>
  <c r="B270" i="11"/>
  <c r="T75" i="14"/>
  <c r="U33" i="14"/>
  <c r="B272" i="11"/>
  <c r="B268" i="11"/>
  <c r="Q6" i="13"/>
  <c r="T6" i="13" s="1"/>
  <c r="B157" i="11" s="1"/>
  <c r="B266" i="11"/>
  <c r="B257" i="11"/>
  <c r="B256" i="11"/>
  <c r="B254" i="11"/>
  <c r="B263" i="11"/>
  <c r="N6" i="13"/>
  <c r="O6" i="13" s="1"/>
  <c r="B264" i="11"/>
  <c r="B275" i="11"/>
  <c r="B261" i="11"/>
  <c r="U19" i="14"/>
  <c r="K19" i="15"/>
  <c r="E16" i="29" s="1"/>
  <c r="B271" i="11"/>
  <c r="B276" i="11"/>
  <c r="U8" i="13"/>
  <c r="J23" i="15" s="1"/>
  <c r="J10" i="29" s="1"/>
  <c r="B259" i="11"/>
  <c r="B258" i="11"/>
  <c r="K8" i="15"/>
  <c r="E5" i="29" s="1"/>
  <c r="U63" i="14"/>
  <c r="B252" i="11"/>
  <c r="C252" i="11" s="1"/>
  <c r="C253" i="11" s="1"/>
  <c r="C254" i="11" s="1"/>
  <c r="B273" i="11"/>
  <c r="B267" i="11"/>
  <c r="B255" i="11"/>
  <c r="U43" i="14"/>
  <c r="B274" i="11"/>
  <c r="U60" i="14"/>
  <c r="E94" i="14" s="1"/>
  <c r="W8" i="13"/>
  <c r="V8" i="13"/>
  <c r="L23" i="15" s="1"/>
  <c r="J11" i="29" s="1"/>
  <c r="B265" i="11"/>
  <c r="U56" i="14"/>
  <c r="U84" i="14"/>
  <c r="U49" i="14"/>
  <c r="U36" i="14"/>
  <c r="U38" i="14"/>
  <c r="B260" i="11"/>
  <c r="T72" i="14"/>
  <c r="C21" i="18"/>
  <c r="B17" i="32" s="1"/>
  <c r="T20" i="14"/>
  <c r="T12" i="14"/>
  <c r="B8" i="32"/>
  <c r="U59" i="14"/>
  <c r="T80" i="14"/>
  <c r="H12" i="17"/>
  <c r="J12" i="17" s="1"/>
  <c r="T76" i="14"/>
  <c r="T57" i="14"/>
  <c r="Q4" i="13"/>
  <c r="T4" i="13" s="1"/>
  <c r="B57" i="11" s="1"/>
  <c r="K16" i="15"/>
  <c r="E13" i="29" s="1"/>
  <c r="U32" i="14"/>
  <c r="T23" i="14"/>
  <c r="T69" i="14"/>
  <c r="U27" i="14"/>
  <c r="C92" i="14" s="1"/>
  <c r="U64" i="14"/>
  <c r="T73" i="14"/>
  <c r="T82" i="14"/>
  <c r="T48" i="14"/>
  <c r="G12" i="15"/>
  <c r="T83" i="14"/>
  <c r="T18" i="14"/>
  <c r="T39" i="14"/>
  <c r="T66" i="14"/>
  <c r="G11" i="17"/>
  <c r="J11" i="17" s="1"/>
  <c r="K11" i="17" s="1"/>
  <c r="T17" i="14"/>
  <c r="T74" i="14"/>
  <c r="U44" i="14"/>
  <c r="T41" i="14"/>
  <c r="T14" i="14"/>
  <c r="U62" i="14"/>
  <c r="T13" i="14"/>
  <c r="U51" i="14"/>
  <c r="U53" i="14"/>
  <c r="G16" i="15"/>
  <c r="N4" i="13"/>
  <c r="O4" i="13" s="1"/>
  <c r="G13" i="17"/>
  <c r="J13" i="17" s="1"/>
  <c r="D10" i="31" s="1"/>
  <c r="T52" i="14"/>
  <c r="T86" i="14"/>
  <c r="G14" i="15"/>
  <c r="K14" i="15"/>
  <c r="E11" i="29" s="1"/>
  <c r="U58" i="14"/>
  <c r="I4" i="13"/>
  <c r="F23" i="16" s="1"/>
  <c r="U31" i="14"/>
  <c r="B92" i="14" s="1"/>
  <c r="U79" i="14"/>
  <c r="O4" i="16"/>
  <c r="J8" i="30" s="1"/>
  <c r="T46" i="14"/>
  <c r="U67" i="14"/>
  <c r="D94" i="14" s="1"/>
  <c r="U21" i="14"/>
  <c r="U28" i="14"/>
  <c r="U71" i="14"/>
  <c r="T26" i="14"/>
  <c r="T81" i="14"/>
  <c r="H14" i="17"/>
  <c r="J14" i="17" s="1"/>
  <c r="K14" i="17" s="1"/>
  <c r="L14" i="17" s="1"/>
  <c r="H17" i="17"/>
  <c r="J17" i="17" s="1"/>
  <c r="K17" i="17" s="1"/>
  <c r="T16" i="14"/>
  <c r="G8" i="15"/>
  <c r="E16" i="7"/>
  <c r="G16" i="7"/>
  <c r="H16" i="7" s="1"/>
  <c r="E21" i="5"/>
  <c r="G21" i="5"/>
  <c r="H21" i="5" s="1"/>
  <c r="E22" i="5"/>
  <c r="G22" i="5"/>
  <c r="H22" i="5" s="1"/>
  <c r="D21" i="4"/>
  <c r="F21" i="4"/>
  <c r="G21" i="4" s="1"/>
  <c r="K32" i="7"/>
  <c r="M32" i="7"/>
  <c r="M33" i="7" s="1"/>
  <c r="M34" i="7" s="1"/>
  <c r="M35" i="7" s="1"/>
  <c r="M36" i="7" s="1"/>
  <c r="M37" i="7" s="1"/>
  <c r="M38" i="7" s="1"/>
  <c r="M39" i="7" s="1"/>
  <c r="M40" i="7" s="1"/>
  <c r="W32" i="5"/>
  <c r="W33" i="5" s="1"/>
  <c r="W34" i="5" s="1"/>
  <c r="W35" i="5" s="1"/>
  <c r="W36" i="5" s="1"/>
  <c r="W37" i="5" s="1"/>
  <c r="W38" i="5" s="1"/>
  <c r="W39" i="5" s="1"/>
  <c r="W40" i="5" s="1"/>
  <c r="Y32" i="5"/>
  <c r="Y33" i="5" s="1"/>
  <c r="Y34" i="5" s="1"/>
  <c r="Y35" i="5" s="1"/>
  <c r="Y36" i="5" s="1"/>
  <c r="Y37" i="5" s="1"/>
  <c r="Y38" i="5" s="1"/>
  <c r="Y39" i="5" s="1"/>
  <c r="Y40" i="5" s="1"/>
  <c r="W32" i="4"/>
  <c r="W33" i="4" s="1"/>
  <c r="W34" i="4" s="1"/>
  <c r="W35" i="4" s="1"/>
  <c r="W36" i="4" s="1"/>
  <c r="W37" i="4" s="1"/>
  <c r="W38" i="4" s="1"/>
  <c r="W39" i="4" s="1"/>
  <c r="W40" i="4" s="1"/>
  <c r="D15" i="31"/>
  <c r="H9" i="18"/>
  <c r="J9" i="18" s="1"/>
  <c r="K9" i="18" s="1"/>
  <c r="H11" i="18"/>
  <c r="J11" i="18" s="1"/>
  <c r="K11" i="18" s="1"/>
  <c r="T7" i="13"/>
  <c r="B204" i="11" s="1"/>
  <c r="D12" i="31"/>
  <c r="AA32" i="4"/>
  <c r="G14" i="18"/>
  <c r="G10" i="16"/>
  <c r="AC32" i="4"/>
  <c r="G10" i="19"/>
  <c r="J10" i="19" s="1"/>
  <c r="D7" i="33" s="1"/>
  <c r="G18" i="16"/>
  <c r="J18" i="16" s="1"/>
  <c r="G11" i="19"/>
  <c r="J8" i="17"/>
  <c r="L9" i="15"/>
  <c r="E6" i="29"/>
  <c r="M9" i="15"/>
  <c r="K9" i="17"/>
  <c r="D6" i="31"/>
  <c r="G10" i="18"/>
  <c r="J10" i="18" s="1"/>
  <c r="D7" i="32" s="1"/>
  <c r="G15" i="16"/>
  <c r="J15" i="16" s="1"/>
  <c r="D12" i="30" s="1"/>
  <c r="M18" i="17"/>
  <c r="L18" i="17"/>
  <c r="E15" i="31"/>
  <c r="AC32" i="5"/>
  <c r="E9" i="29"/>
  <c r="M12" i="15"/>
  <c r="E12" i="29"/>
  <c r="L15" i="15"/>
  <c r="M15" i="15"/>
  <c r="E15" i="29"/>
  <c r="M18" i="15"/>
  <c r="L18" i="15"/>
  <c r="H12" i="16"/>
  <c r="G12" i="16"/>
  <c r="H14" i="19"/>
  <c r="G14" i="19"/>
  <c r="G9" i="16"/>
  <c r="J9" i="16" s="1"/>
  <c r="D6" i="30" s="1"/>
  <c r="G15" i="19"/>
  <c r="J15" i="19" s="1"/>
  <c r="G17" i="19"/>
  <c r="J17" i="19" s="1"/>
  <c r="D14" i="33" s="1"/>
  <c r="G8" i="16"/>
  <c r="F21" i="16"/>
  <c r="AE32" i="5"/>
  <c r="J19" i="17"/>
  <c r="G13" i="19"/>
  <c r="J13" i="19" s="1"/>
  <c r="G13" i="16"/>
  <c r="J13" i="16" s="1"/>
  <c r="G8" i="19"/>
  <c r="F21" i="19"/>
  <c r="M11" i="15"/>
  <c r="L11" i="15"/>
  <c r="E8" i="29"/>
  <c r="G12" i="18"/>
  <c r="J12" i="18" s="1"/>
  <c r="G11" i="16"/>
  <c r="J11" i="16" s="1"/>
  <c r="G19" i="16"/>
  <c r="AE32" i="4"/>
  <c r="G17" i="18"/>
  <c r="J17" i="18" s="1"/>
  <c r="D14" i="32" s="1"/>
  <c r="G18" i="19"/>
  <c r="J18" i="19" s="1"/>
  <c r="G18" i="18"/>
  <c r="J18" i="18" s="1"/>
  <c r="G16" i="19"/>
  <c r="J16" i="19" s="1"/>
  <c r="L15" i="17"/>
  <c r="E12" i="31"/>
  <c r="M15" i="17"/>
  <c r="G16" i="18"/>
  <c r="J16" i="18" s="1"/>
  <c r="G16" i="16"/>
  <c r="J16" i="16" s="1"/>
  <c r="H15" i="18"/>
  <c r="J15" i="18" s="1"/>
  <c r="G12" i="19"/>
  <c r="J12" i="19" s="1"/>
  <c r="D9" i="33" s="1"/>
  <c r="H19" i="16"/>
  <c r="H14" i="18"/>
  <c r="H10" i="16"/>
  <c r="G19" i="19"/>
  <c r="J19" i="19" s="1"/>
  <c r="Y32" i="4"/>
  <c r="H9" i="19"/>
  <c r="G9" i="19"/>
  <c r="G14" i="16"/>
  <c r="J14" i="16" s="1"/>
  <c r="E14" i="29"/>
  <c r="L17" i="15"/>
  <c r="M17" i="15"/>
  <c r="G17" i="16"/>
  <c r="J17" i="16" s="1"/>
  <c r="H11" i="19"/>
  <c r="E7" i="29"/>
  <c r="L10" i="15"/>
  <c r="M10" i="15"/>
  <c r="B22" i="21"/>
  <c r="C21" i="21"/>
  <c r="D20" i="21"/>
  <c r="E19" i="21"/>
  <c r="D15" i="7"/>
  <c r="G19" i="15" l="1"/>
  <c r="B162" i="11"/>
  <c r="F21" i="15"/>
  <c r="H16" i="17"/>
  <c r="J16" i="17" s="1"/>
  <c r="K16" i="17" s="1"/>
  <c r="L16" i="17" s="1"/>
  <c r="G13" i="15"/>
  <c r="G8" i="18"/>
  <c r="K13" i="15"/>
  <c r="G10" i="17"/>
  <c r="J10" i="17" s="1"/>
  <c r="J21" i="17" s="1"/>
  <c r="D17" i="31" s="1"/>
  <c r="F21" i="17"/>
  <c r="U6" i="13"/>
  <c r="J23" i="18" s="1"/>
  <c r="J10" i="32" s="1"/>
  <c r="B105" i="11"/>
  <c r="C105" i="11" s="1"/>
  <c r="W5" i="13"/>
  <c r="B110" i="11"/>
  <c r="B118" i="11"/>
  <c r="B115" i="11"/>
  <c r="B124" i="11"/>
  <c r="V5" i="13"/>
  <c r="L23" i="17" s="1"/>
  <c r="J11" i="31" s="1"/>
  <c r="B126" i="11"/>
  <c r="B129" i="11"/>
  <c r="M19" i="15"/>
  <c r="L19" i="15"/>
  <c r="B116" i="11"/>
  <c r="B119" i="11"/>
  <c r="B108" i="11"/>
  <c r="B123" i="11"/>
  <c r="B109" i="11"/>
  <c r="H13" i="18"/>
  <c r="J13" i="18" s="1"/>
  <c r="D10" i="32" s="1"/>
  <c r="B127" i="11"/>
  <c r="B128" i="11"/>
  <c r="B121" i="11"/>
  <c r="B106" i="11"/>
  <c r="F21" i="18"/>
  <c r="B112" i="11"/>
  <c r="U5" i="13"/>
  <c r="J23" i="17" s="1"/>
  <c r="J10" i="31" s="1"/>
  <c r="B114" i="11"/>
  <c r="B122" i="11"/>
  <c r="B120" i="11"/>
  <c r="B111" i="11"/>
  <c r="B117" i="11"/>
  <c r="B113" i="11"/>
  <c r="B107" i="11"/>
  <c r="G19" i="18"/>
  <c r="H19" i="18"/>
  <c r="B158" i="11"/>
  <c r="B165" i="11"/>
  <c r="B177" i="11"/>
  <c r="B160" i="11"/>
  <c r="B178" i="11"/>
  <c r="B172" i="11"/>
  <c r="B176" i="11"/>
  <c r="B166" i="11"/>
  <c r="B164" i="11"/>
  <c r="B161" i="11"/>
  <c r="B167" i="11"/>
  <c r="B169" i="11"/>
  <c r="L14" i="15"/>
  <c r="B173" i="11"/>
  <c r="B163" i="11"/>
  <c r="B159" i="11"/>
  <c r="B154" i="11"/>
  <c r="C154" i="11" s="1"/>
  <c r="B174" i="11"/>
  <c r="B155" i="11"/>
  <c r="B171" i="11"/>
  <c r="B170" i="11"/>
  <c r="D8" i="31"/>
  <c r="B175" i="11"/>
  <c r="W6" i="13"/>
  <c r="V6" i="13"/>
  <c r="L23" i="18" s="1"/>
  <c r="J11" i="32" s="1"/>
  <c r="B156" i="11"/>
  <c r="B168" i="11"/>
  <c r="J10" i="16"/>
  <c r="D7" i="30" s="1"/>
  <c r="L16" i="15"/>
  <c r="M16" i="15"/>
  <c r="F13" i="29" s="1"/>
  <c r="M8" i="15"/>
  <c r="F5" i="29" s="1"/>
  <c r="L8" i="15"/>
  <c r="G21" i="15"/>
  <c r="C255" i="11"/>
  <c r="C256" i="11" s="1"/>
  <c r="C257" i="11" s="1"/>
  <c r="C258" i="11" s="1"/>
  <c r="C259" i="11" s="1"/>
  <c r="D13" i="31"/>
  <c r="M14" i="15"/>
  <c r="N14" i="15" s="1"/>
  <c r="O14" i="15" s="1"/>
  <c r="G11" i="29" s="1"/>
  <c r="K21" i="15"/>
  <c r="E17" i="29" s="1"/>
  <c r="J11" i="19"/>
  <c r="D8" i="33" s="1"/>
  <c r="E13" i="31"/>
  <c r="V7" i="13"/>
  <c r="L23" i="19" s="1"/>
  <c r="J11" i="33" s="1"/>
  <c r="L13" i="15"/>
  <c r="M13" i="15"/>
  <c r="E10" i="29"/>
  <c r="K13" i="17"/>
  <c r="M13" i="17" s="1"/>
  <c r="M16" i="17"/>
  <c r="N16" i="17" s="1"/>
  <c r="O16" i="17" s="1"/>
  <c r="G13" i="31" s="1"/>
  <c r="E11" i="31"/>
  <c r="M14" i="17"/>
  <c r="N14" i="17" s="1"/>
  <c r="O14" i="17" s="1"/>
  <c r="G11" i="31" s="1"/>
  <c r="D14" i="31"/>
  <c r="H21" i="17"/>
  <c r="B56" i="11"/>
  <c r="C56" i="11" s="1"/>
  <c r="C57" i="11" s="1"/>
  <c r="B74" i="11"/>
  <c r="D11" i="31"/>
  <c r="W4" i="13"/>
  <c r="B73" i="11"/>
  <c r="B67" i="11"/>
  <c r="U4" i="13"/>
  <c r="J23" i="16" s="1"/>
  <c r="J10" i="30" s="1"/>
  <c r="B77" i="11"/>
  <c r="B76" i="11"/>
  <c r="B71" i="11"/>
  <c r="B66" i="11"/>
  <c r="B60" i="11"/>
  <c r="B62" i="11"/>
  <c r="B64" i="11"/>
  <c r="B79" i="11"/>
  <c r="D6" i="32"/>
  <c r="D8" i="32"/>
  <c r="B75" i="11"/>
  <c r="B59" i="11"/>
  <c r="B31" i="7"/>
  <c r="E15" i="7"/>
  <c r="D8" i="9"/>
  <c r="E8" i="9"/>
  <c r="G15" i="7"/>
  <c r="H15" i="7" s="1"/>
  <c r="B36" i="7" s="1"/>
  <c r="K8" i="9" s="1"/>
  <c r="O8" i="9" s="1"/>
  <c r="B32" i="7"/>
  <c r="AC33" i="5"/>
  <c r="Y33" i="4"/>
  <c r="K33" i="7"/>
  <c r="K34" i="7" s="1"/>
  <c r="K35" i="7" s="1"/>
  <c r="K36" i="7" s="1"/>
  <c r="K37" i="7" s="1"/>
  <c r="K38" i="7" s="1"/>
  <c r="K39" i="7" s="1"/>
  <c r="K40" i="7" s="1"/>
  <c r="B70" i="11"/>
  <c r="V4" i="13"/>
  <c r="L23" i="16" s="1"/>
  <c r="J11" i="30" s="1"/>
  <c r="B63" i="11"/>
  <c r="B78" i="11"/>
  <c r="B80" i="11"/>
  <c r="B72" i="11"/>
  <c r="B61" i="11"/>
  <c r="B69" i="11"/>
  <c r="B65" i="11"/>
  <c r="B58" i="11"/>
  <c r="B68" i="11"/>
  <c r="B212" i="11"/>
  <c r="B225" i="11"/>
  <c r="B214" i="11"/>
  <c r="B219" i="11"/>
  <c r="B227" i="11"/>
  <c r="B226" i="11"/>
  <c r="B213" i="11"/>
  <c r="K13" i="18"/>
  <c r="M13" i="18" s="1"/>
  <c r="D16" i="33"/>
  <c r="K19" i="19"/>
  <c r="E16" i="33" s="1"/>
  <c r="B203" i="11"/>
  <c r="C203" i="11" s="1"/>
  <c r="C204" i="11" s="1"/>
  <c r="B207" i="11"/>
  <c r="B215" i="11"/>
  <c r="B221" i="11"/>
  <c r="B216" i="11"/>
  <c r="B206" i="11"/>
  <c r="U7" i="13"/>
  <c r="J23" i="19" s="1"/>
  <c r="J10" i="33" s="1"/>
  <c r="B222" i="11"/>
  <c r="B208" i="11"/>
  <c r="B224" i="11"/>
  <c r="B211" i="11"/>
  <c r="B220" i="11"/>
  <c r="W7" i="13"/>
  <c r="H21" i="19"/>
  <c r="B218" i="11"/>
  <c r="B210" i="11"/>
  <c r="B205" i="11"/>
  <c r="D9" i="31"/>
  <c r="K12" i="17"/>
  <c r="B223" i="11"/>
  <c r="B209" i="11"/>
  <c r="B217" i="11"/>
  <c r="J14" i="18"/>
  <c r="D11" i="32" s="1"/>
  <c r="J9" i="19"/>
  <c r="D6" i="33" s="1"/>
  <c r="J14" i="19"/>
  <c r="D11" i="33" s="1"/>
  <c r="D8" i="30"/>
  <c r="K11" i="16"/>
  <c r="D13" i="33"/>
  <c r="K16" i="19"/>
  <c r="D13" i="30"/>
  <c r="K16" i="16"/>
  <c r="D11" i="30"/>
  <c r="K14" i="16"/>
  <c r="D14" i="30"/>
  <c r="K17" i="16"/>
  <c r="D13" i="32"/>
  <c r="K16" i="18"/>
  <c r="D15" i="33"/>
  <c r="K18" i="19"/>
  <c r="D10" i="30"/>
  <c r="K13" i="16"/>
  <c r="D15" i="32"/>
  <c r="K18" i="18"/>
  <c r="D10" i="33"/>
  <c r="K13" i="19"/>
  <c r="D15" i="30"/>
  <c r="K18" i="16"/>
  <c r="D9" i="32"/>
  <c r="K12" i="18"/>
  <c r="D12" i="33"/>
  <c r="K15" i="19"/>
  <c r="G21" i="19"/>
  <c r="N11" i="15"/>
  <c r="O11" i="15" s="1"/>
  <c r="G8" i="29" s="1"/>
  <c r="F8" i="29"/>
  <c r="G21" i="16"/>
  <c r="E6" i="31"/>
  <c r="M9" i="17"/>
  <c r="L9" i="17"/>
  <c r="K12" i="19"/>
  <c r="AE33" i="4"/>
  <c r="K17" i="19"/>
  <c r="F9" i="29"/>
  <c r="N12" i="15"/>
  <c r="O12" i="15" s="1"/>
  <c r="G9" i="29" s="1"/>
  <c r="K10" i="18"/>
  <c r="N9" i="15"/>
  <c r="O9" i="15" s="1"/>
  <c r="G6" i="29" s="1"/>
  <c r="F6" i="29"/>
  <c r="N19" i="15"/>
  <c r="O19" i="15" s="1"/>
  <c r="G16" i="29" s="1"/>
  <c r="F16" i="29"/>
  <c r="F15" i="29"/>
  <c r="N18" i="15"/>
  <c r="O18" i="15" s="1"/>
  <c r="G15" i="29" s="1"/>
  <c r="K10" i="19"/>
  <c r="H21" i="16"/>
  <c r="J8" i="19"/>
  <c r="K19" i="17"/>
  <c r="D16" i="31"/>
  <c r="L9" i="18"/>
  <c r="E6" i="32"/>
  <c r="M9" i="18"/>
  <c r="J8" i="16"/>
  <c r="AC33" i="4"/>
  <c r="AA33" i="4"/>
  <c r="N10" i="15"/>
  <c r="O10" i="15" s="1"/>
  <c r="G7" i="29" s="1"/>
  <c r="F7" i="29"/>
  <c r="L17" i="17"/>
  <c r="M17" i="17"/>
  <c r="E14" i="31"/>
  <c r="M11" i="17"/>
  <c r="E8" i="31"/>
  <c r="L11" i="17"/>
  <c r="K15" i="18"/>
  <c r="D12" i="32"/>
  <c r="F14" i="29"/>
  <c r="N17" i="15"/>
  <c r="O17" i="15" s="1"/>
  <c r="G14" i="29" s="1"/>
  <c r="F12" i="31"/>
  <c r="N15" i="17"/>
  <c r="O15" i="17" s="1"/>
  <c r="G12" i="31" s="1"/>
  <c r="AE33" i="5"/>
  <c r="D5" i="31"/>
  <c r="K8" i="17"/>
  <c r="K17" i="18"/>
  <c r="L11" i="18"/>
  <c r="E8" i="32"/>
  <c r="M11" i="18"/>
  <c r="N15" i="15"/>
  <c r="O15" i="15" s="1"/>
  <c r="G12" i="29" s="1"/>
  <c r="F12" i="29"/>
  <c r="N18" i="17"/>
  <c r="O18" i="17" s="1"/>
  <c r="G15" i="31" s="1"/>
  <c r="F15" i="31"/>
  <c r="K9" i="16"/>
  <c r="J19" i="16"/>
  <c r="J12" i="16"/>
  <c r="K15" i="16"/>
  <c r="J8" i="18"/>
  <c r="E20" i="21"/>
  <c r="D21" i="21"/>
  <c r="C22" i="21"/>
  <c r="B23" i="21"/>
  <c r="C22" i="4"/>
  <c r="D24" i="5"/>
  <c r="D25" i="5"/>
  <c r="D7" i="31" l="1"/>
  <c r="K10" i="17"/>
  <c r="N16" i="15"/>
  <c r="O16" i="15" s="1"/>
  <c r="G13" i="29" s="1"/>
  <c r="K10" i="16"/>
  <c r="E7" i="30" s="1"/>
  <c r="H21" i="18"/>
  <c r="G21" i="17"/>
  <c r="C106" i="11"/>
  <c r="C107" i="11" s="1"/>
  <c r="C108" i="11" s="1"/>
  <c r="C109" i="11" s="1"/>
  <c r="C110" i="11" s="1"/>
  <c r="C111" i="11" s="1"/>
  <c r="C112" i="11" s="1"/>
  <c r="C113" i="11" s="1"/>
  <c r="K11" i="19"/>
  <c r="L11" i="19" s="1"/>
  <c r="E10" i="31"/>
  <c r="J19" i="18"/>
  <c r="D16" i="32" s="1"/>
  <c r="G21" i="18"/>
  <c r="N8" i="15"/>
  <c r="F11" i="29"/>
  <c r="C155" i="11"/>
  <c r="C156" i="11" s="1"/>
  <c r="C157" i="11" s="1"/>
  <c r="C158" i="11" s="1"/>
  <c r="C159" i="11" s="1"/>
  <c r="C160" i="11" s="1"/>
  <c r="C161" i="11" s="1"/>
  <c r="C162" i="11" s="1"/>
  <c r="L21" i="15"/>
  <c r="F11" i="31"/>
  <c r="M21" i="15"/>
  <c r="F17" i="29" s="1"/>
  <c r="F10" i="29"/>
  <c r="N13" i="15"/>
  <c r="O13" i="15" s="1"/>
  <c r="G10" i="29" s="1"/>
  <c r="L13" i="17"/>
  <c r="F13" i="31"/>
  <c r="K9" i="19"/>
  <c r="L9" i="19" s="1"/>
  <c r="D22" i="4"/>
  <c r="F22" i="4"/>
  <c r="G22" i="4" s="1"/>
  <c r="E24" i="5"/>
  <c r="G24" i="5"/>
  <c r="H24" i="5" s="1"/>
  <c r="B31" i="5"/>
  <c r="B32" i="5"/>
  <c r="D5" i="9"/>
  <c r="E5" i="9"/>
  <c r="E25" i="5"/>
  <c r="G25" i="5"/>
  <c r="H25" i="5" s="1"/>
  <c r="Y34" i="4"/>
  <c r="Y35" i="4" s="1"/>
  <c r="Y36" i="4" s="1"/>
  <c r="Y37" i="4" s="1"/>
  <c r="Y38" i="4" s="1"/>
  <c r="Y39" i="4" s="1"/>
  <c r="Y40" i="4" s="1"/>
  <c r="B33" i="7"/>
  <c r="AC34" i="5"/>
  <c r="AC35" i="5" s="1"/>
  <c r="AC36" i="5" s="1"/>
  <c r="AC37" i="5" s="1"/>
  <c r="AC38" i="5" s="1"/>
  <c r="AC39" i="5" s="1"/>
  <c r="AC40" i="5" s="1"/>
  <c r="AE34" i="5"/>
  <c r="AE35" i="5" s="1"/>
  <c r="AE36" i="5" s="1"/>
  <c r="AE37" i="5" s="1"/>
  <c r="AE38" i="5" s="1"/>
  <c r="AE39" i="5" s="1"/>
  <c r="AE40" i="5" s="1"/>
  <c r="C260" i="11"/>
  <c r="F8" i="9"/>
  <c r="N8" i="9" s="1"/>
  <c r="L10" i="16"/>
  <c r="L19" i="19"/>
  <c r="M19" i="19"/>
  <c r="N19" i="19" s="1"/>
  <c r="O19" i="19" s="1"/>
  <c r="G16" i="33" s="1"/>
  <c r="K14" i="18"/>
  <c r="E11" i="32" s="1"/>
  <c r="C205" i="11"/>
  <c r="C206" i="11" s="1"/>
  <c r="E10" i="32"/>
  <c r="L13" i="18"/>
  <c r="K14" i="19"/>
  <c r="M14" i="19" s="1"/>
  <c r="M12" i="17"/>
  <c r="E9" i="31"/>
  <c r="L12" i="17"/>
  <c r="D5" i="32"/>
  <c r="K8" i="18"/>
  <c r="M19" i="17"/>
  <c r="L19" i="17"/>
  <c r="E16" i="31"/>
  <c r="O8" i="15"/>
  <c r="L15" i="16"/>
  <c r="M15" i="16"/>
  <c r="E12" i="30"/>
  <c r="M15" i="18"/>
  <c r="L15" i="18"/>
  <c r="E12" i="32"/>
  <c r="N17" i="17"/>
  <c r="O17" i="17" s="1"/>
  <c r="G14" i="31" s="1"/>
  <c r="F14" i="31"/>
  <c r="L10" i="19"/>
  <c r="E7" i="33"/>
  <c r="M10" i="19"/>
  <c r="E14" i="33"/>
  <c r="L17" i="19"/>
  <c r="M17" i="19"/>
  <c r="D5" i="33"/>
  <c r="J21" i="19"/>
  <c r="D17" i="33" s="1"/>
  <c r="K8" i="19"/>
  <c r="L13" i="16"/>
  <c r="M13" i="16"/>
  <c r="E10" i="30"/>
  <c r="D9" i="30"/>
  <c r="K12" i="16"/>
  <c r="F8" i="32"/>
  <c r="N11" i="18"/>
  <c r="O11" i="18" s="1"/>
  <c r="G8" i="32" s="1"/>
  <c r="D5" i="30"/>
  <c r="J21" i="16"/>
  <c r="D17" i="30" s="1"/>
  <c r="K8" i="16"/>
  <c r="M18" i="16"/>
  <c r="L18" i="16"/>
  <c r="E15" i="30"/>
  <c r="L18" i="19"/>
  <c r="M18" i="19"/>
  <c r="E15" i="33"/>
  <c r="E13" i="30"/>
  <c r="L16" i="16"/>
  <c r="M16" i="16"/>
  <c r="F6" i="32"/>
  <c r="N9" i="18"/>
  <c r="O9" i="18" s="1"/>
  <c r="G6" i="32" s="1"/>
  <c r="F10" i="32"/>
  <c r="N13" i="18"/>
  <c r="O13" i="18" s="1"/>
  <c r="G10" i="32" s="1"/>
  <c r="C58" i="11"/>
  <c r="N9" i="17"/>
  <c r="O9" i="17" s="1"/>
  <c r="G6" i="31" s="1"/>
  <c r="F6" i="31"/>
  <c r="L9" i="16"/>
  <c r="E6" i="30"/>
  <c r="M9" i="16"/>
  <c r="E7" i="31"/>
  <c r="L10" i="17"/>
  <c r="M10" i="17"/>
  <c r="N11" i="17"/>
  <c r="O11" i="17" s="1"/>
  <c r="G8" i="31" s="1"/>
  <c r="F8" i="31"/>
  <c r="M10" i="18"/>
  <c r="L10" i="18"/>
  <c r="E7" i="32"/>
  <c r="N13" i="17"/>
  <c r="O13" i="17" s="1"/>
  <c r="G10" i="31" s="1"/>
  <c r="F10" i="31"/>
  <c r="L13" i="19"/>
  <c r="E10" i="33"/>
  <c r="M13" i="19"/>
  <c r="M16" i="18"/>
  <c r="L16" i="18"/>
  <c r="E13" i="32"/>
  <c r="M16" i="19"/>
  <c r="E13" i="33"/>
  <c r="L16" i="19"/>
  <c r="E11" i="30"/>
  <c r="L14" i="16"/>
  <c r="M14" i="16"/>
  <c r="AA34" i="4"/>
  <c r="AE34" i="4"/>
  <c r="M12" i="18"/>
  <c r="E9" i="32"/>
  <c r="L12" i="18"/>
  <c r="D16" i="30"/>
  <c r="K19" i="16"/>
  <c r="M17" i="18"/>
  <c r="E14" i="32"/>
  <c r="L17" i="18"/>
  <c r="E5" i="31"/>
  <c r="M8" i="17"/>
  <c r="K21" i="17"/>
  <c r="E17" i="31" s="1"/>
  <c r="L8" i="17"/>
  <c r="AC34" i="4"/>
  <c r="E9" i="33"/>
  <c r="M12" i="19"/>
  <c r="L12" i="19"/>
  <c r="E12" i="33"/>
  <c r="M15" i="19"/>
  <c r="L15" i="19"/>
  <c r="L18" i="18"/>
  <c r="E15" i="32"/>
  <c r="M18" i="18"/>
  <c r="E14" i="30"/>
  <c r="L17" i="16"/>
  <c r="M17" i="16"/>
  <c r="E8" i="30"/>
  <c r="M11" i="16"/>
  <c r="L11" i="16"/>
  <c r="C23" i="21"/>
  <c r="B24" i="21"/>
  <c r="D22" i="21"/>
  <c r="E21" i="21"/>
  <c r="G85" i="11"/>
  <c r="G232" i="11"/>
  <c r="M11" i="19" l="1"/>
  <c r="E8" i="33"/>
  <c r="M10" i="16"/>
  <c r="N10" i="16" s="1"/>
  <c r="O10" i="16" s="1"/>
  <c r="G7" i="30" s="1"/>
  <c r="K19" i="18"/>
  <c r="L19" i="18" s="1"/>
  <c r="N21" i="15"/>
  <c r="J21" i="18"/>
  <c r="D17" i="32" s="1"/>
  <c r="M9" i="19"/>
  <c r="F6" i="33" s="1"/>
  <c r="F7" i="30"/>
  <c r="B33" i="5"/>
  <c r="E6" i="33"/>
  <c r="F16" i="33"/>
  <c r="L14" i="18"/>
  <c r="M14" i="18"/>
  <c r="N14" i="18" s="1"/>
  <c r="O14" i="18" s="1"/>
  <c r="G11" i="32" s="1"/>
  <c r="F5" i="9"/>
  <c r="N5" i="9" s="1"/>
  <c r="X5" i="13"/>
  <c r="N23" i="17" s="1"/>
  <c r="J12" i="31" s="1"/>
  <c r="X8" i="13"/>
  <c r="N23" i="15" s="1"/>
  <c r="J12" i="29" s="1"/>
  <c r="C114" i="11"/>
  <c r="C115" i="11" s="1"/>
  <c r="C116" i="11" s="1"/>
  <c r="C117" i="11" s="1"/>
  <c r="C118" i="11" s="1"/>
  <c r="C119" i="11" s="1"/>
  <c r="C120" i="11" s="1"/>
  <c r="C121" i="11" s="1"/>
  <c r="C122" i="11" s="1"/>
  <c r="C123" i="11" s="1"/>
  <c r="C124" i="11" s="1"/>
  <c r="C125" i="11" s="1"/>
  <c r="C126" i="11" s="1"/>
  <c r="C127" i="11" s="1"/>
  <c r="C128" i="11" s="1"/>
  <c r="C129" i="11" s="1"/>
  <c r="AA35" i="4"/>
  <c r="B36" i="5"/>
  <c r="K5" i="9" s="1"/>
  <c r="O5" i="9" s="1"/>
  <c r="C261" i="11"/>
  <c r="C262" i="11" s="1"/>
  <c r="C263" i="11" s="1"/>
  <c r="C264" i="11" s="1"/>
  <c r="C265" i="11" s="1"/>
  <c r="C266" i="11" s="1"/>
  <c r="C267" i="11" s="1"/>
  <c r="C268" i="11" s="1"/>
  <c r="C269" i="11" s="1"/>
  <c r="C270" i="11" s="1"/>
  <c r="C271" i="11" s="1"/>
  <c r="C272" i="11" s="1"/>
  <c r="C273" i="11" s="1"/>
  <c r="C274" i="11" s="1"/>
  <c r="C275" i="11" s="1"/>
  <c r="C276" i="11" s="1"/>
  <c r="E11" i="33"/>
  <c r="L14" i="19"/>
  <c r="C207" i="11"/>
  <c r="F9" i="31"/>
  <c r="N12" i="17"/>
  <c r="O12" i="17" s="1"/>
  <c r="G9" i="31" s="1"/>
  <c r="N14" i="16"/>
  <c r="O14" i="16" s="1"/>
  <c r="G11" i="30" s="1"/>
  <c r="F11" i="30"/>
  <c r="N16" i="19"/>
  <c r="O16" i="19" s="1"/>
  <c r="G13" i="33" s="1"/>
  <c r="F13" i="33"/>
  <c r="N18" i="19"/>
  <c r="O18" i="19" s="1"/>
  <c r="G15" i="33" s="1"/>
  <c r="F15" i="33"/>
  <c r="E5" i="30"/>
  <c r="K21" i="16"/>
  <c r="E17" i="30" s="1"/>
  <c r="L8" i="16"/>
  <c r="M8" i="16"/>
  <c r="N13" i="16"/>
  <c r="O13" i="16" s="1"/>
  <c r="G10" i="30" s="1"/>
  <c r="F10" i="30"/>
  <c r="N10" i="19"/>
  <c r="O10" i="19" s="1"/>
  <c r="G7" i="33" s="1"/>
  <c r="F7" i="33"/>
  <c r="F9" i="32"/>
  <c r="N12" i="18"/>
  <c r="O12" i="18" s="1"/>
  <c r="G9" i="32" s="1"/>
  <c r="E5" i="33"/>
  <c r="M8" i="19"/>
  <c r="K21" i="19"/>
  <c r="E17" i="33" s="1"/>
  <c r="L8" i="19"/>
  <c r="N19" i="17"/>
  <c r="O19" i="17" s="1"/>
  <c r="G16" i="31" s="1"/>
  <c r="F16" i="31"/>
  <c r="F5" i="31"/>
  <c r="M21" i="17"/>
  <c r="F17" i="31" s="1"/>
  <c r="N8" i="17"/>
  <c r="F6" i="30"/>
  <c r="N9" i="16"/>
  <c r="O9" i="16" s="1"/>
  <c r="G6" i="30" s="1"/>
  <c r="F13" i="32"/>
  <c r="N16" i="18"/>
  <c r="O16" i="18" s="1"/>
  <c r="G13" i="32" s="1"/>
  <c r="N10" i="18"/>
  <c r="O10" i="18" s="1"/>
  <c r="G7" i="32" s="1"/>
  <c r="F7" i="32"/>
  <c r="G5" i="29"/>
  <c r="O21" i="15"/>
  <c r="F12" i="30"/>
  <c r="N15" i="16"/>
  <c r="O15" i="16" s="1"/>
  <c r="G12" i="30" s="1"/>
  <c r="N13" i="19"/>
  <c r="O13" i="19" s="1"/>
  <c r="G10" i="33" s="1"/>
  <c r="F10" i="33"/>
  <c r="N16" i="16"/>
  <c r="O16" i="16" s="1"/>
  <c r="G13" i="30" s="1"/>
  <c r="F13" i="30"/>
  <c r="N18" i="16"/>
  <c r="O18" i="16" s="1"/>
  <c r="G15" i="30" s="1"/>
  <c r="F15" i="30"/>
  <c r="F15" i="32"/>
  <c r="N18" i="18"/>
  <c r="O18" i="18" s="1"/>
  <c r="G15" i="32" s="1"/>
  <c r="C163" i="11"/>
  <c r="N11" i="16"/>
  <c r="O11" i="16" s="1"/>
  <c r="G8" i="30" s="1"/>
  <c r="F8" i="30"/>
  <c r="N17" i="18"/>
  <c r="O17" i="18" s="1"/>
  <c r="G14" i="32" s="1"/>
  <c r="F14" i="32"/>
  <c r="F11" i="33"/>
  <c r="N14" i="19"/>
  <c r="O14" i="19" s="1"/>
  <c r="G11" i="33" s="1"/>
  <c r="F11" i="32"/>
  <c r="F8" i="33"/>
  <c r="N11" i="19"/>
  <c r="O11" i="19" s="1"/>
  <c r="G8" i="33" s="1"/>
  <c r="M12" i="16"/>
  <c r="E9" i="30"/>
  <c r="L12" i="16"/>
  <c r="F14" i="33"/>
  <c r="N17" i="19"/>
  <c r="O17" i="19" s="1"/>
  <c r="G14" i="33" s="1"/>
  <c r="F9" i="33"/>
  <c r="N12" i="19"/>
  <c r="O12" i="19" s="1"/>
  <c r="G9" i="33" s="1"/>
  <c r="N15" i="19"/>
  <c r="O15" i="19" s="1"/>
  <c r="G12" i="33" s="1"/>
  <c r="F12" i="33"/>
  <c r="AC35" i="4"/>
  <c r="F7" i="31"/>
  <c r="N10" i="17"/>
  <c r="O10" i="17" s="1"/>
  <c r="G7" i="31" s="1"/>
  <c r="L19" i="16"/>
  <c r="M19" i="16"/>
  <c r="E16" i="30"/>
  <c r="AE35" i="4"/>
  <c r="N17" i="16"/>
  <c r="O17" i="16" s="1"/>
  <c r="G14" i="30" s="1"/>
  <c r="F14" i="30"/>
  <c r="L21" i="17"/>
  <c r="C59" i="11"/>
  <c r="N15" i="18"/>
  <c r="O15" i="18" s="1"/>
  <c r="G12" i="32" s="1"/>
  <c r="F12" i="32"/>
  <c r="E5" i="32"/>
  <c r="M8" i="18"/>
  <c r="L8" i="18"/>
  <c r="E22" i="21"/>
  <c r="D23" i="21"/>
  <c r="C24" i="21"/>
  <c r="B25" i="21"/>
  <c r="G134" i="11"/>
  <c r="M19" i="18" l="1"/>
  <c r="N19" i="18" s="1"/>
  <c r="O19" i="18" s="1"/>
  <c r="G16" i="32" s="1"/>
  <c r="N9" i="19"/>
  <c r="O9" i="19" s="1"/>
  <c r="G6" i="33" s="1"/>
  <c r="E16" i="32"/>
  <c r="K21" i="18"/>
  <c r="E17" i="32" s="1"/>
  <c r="F16" i="32"/>
  <c r="L21" i="18"/>
  <c r="L21" i="19"/>
  <c r="X6" i="13"/>
  <c r="N23" i="18" s="1"/>
  <c r="J12" i="32" s="1"/>
  <c r="C164" i="11"/>
  <c r="C165" i="11" s="1"/>
  <c r="C166" i="11" s="1"/>
  <c r="C167" i="11" s="1"/>
  <c r="C168" i="11" s="1"/>
  <c r="C169" i="11" s="1"/>
  <c r="C170" i="11" s="1"/>
  <c r="C171" i="11" s="1"/>
  <c r="C172" i="11" s="1"/>
  <c r="C173" i="11" s="1"/>
  <c r="C174" i="11" s="1"/>
  <c r="C175" i="11" s="1"/>
  <c r="C176" i="11" s="1"/>
  <c r="C177" i="11" s="1"/>
  <c r="C178" i="11" s="1"/>
  <c r="AA36" i="4"/>
  <c r="C208" i="11"/>
  <c r="C60" i="11"/>
  <c r="AC36" i="4"/>
  <c r="F5" i="32"/>
  <c r="N8" i="18"/>
  <c r="M21" i="18"/>
  <c r="F17" i="32" s="1"/>
  <c r="AE36" i="4"/>
  <c r="F9" i="30"/>
  <c r="N12" i="16"/>
  <c r="O12" i="16" s="1"/>
  <c r="G9" i="30" s="1"/>
  <c r="G17" i="29"/>
  <c r="J13" i="29"/>
  <c r="O8" i="17"/>
  <c r="N21" i="17"/>
  <c r="F5" i="33"/>
  <c r="M21" i="19"/>
  <c r="F17" i="33" s="1"/>
  <c r="N8" i="19"/>
  <c r="F16" i="30"/>
  <c r="N19" i="16"/>
  <c r="O19" i="16" s="1"/>
  <c r="G16" i="30" s="1"/>
  <c r="F5" i="30"/>
  <c r="N8" i="16"/>
  <c r="M21" i="16"/>
  <c r="F17" i="30" s="1"/>
  <c r="L21" i="16"/>
  <c r="B26" i="21"/>
  <c r="C25" i="21"/>
  <c r="D24" i="21"/>
  <c r="E23" i="21"/>
  <c r="C23" i="4"/>
  <c r="D23" i="4" l="1"/>
  <c r="F23" i="4"/>
  <c r="G23" i="4" s="1"/>
  <c r="AA37" i="4"/>
  <c r="AA38" i="4" s="1"/>
  <c r="AA39" i="4" s="1"/>
  <c r="AA40" i="4" s="1"/>
  <c r="C209" i="11"/>
  <c r="N21" i="19"/>
  <c r="O8" i="19"/>
  <c r="N21" i="18"/>
  <c r="O8" i="18"/>
  <c r="G5" i="31"/>
  <c r="O21" i="17"/>
  <c r="AE37" i="4"/>
  <c r="N21" i="16"/>
  <c r="O8" i="16"/>
  <c r="AC37" i="4"/>
  <c r="C61" i="11"/>
  <c r="E24" i="21"/>
  <c r="D25" i="21"/>
  <c r="C26" i="21"/>
  <c r="B27" i="21"/>
  <c r="AC38" i="4" l="1"/>
  <c r="C210" i="11"/>
  <c r="C62" i="11"/>
  <c r="G5" i="33"/>
  <c r="O21" i="19"/>
  <c r="G17" i="31"/>
  <c r="J13" i="31"/>
  <c r="O21" i="18"/>
  <c r="G5" i="32"/>
  <c r="G5" i="30"/>
  <c r="O21" i="16"/>
  <c r="AE38" i="4"/>
  <c r="B28" i="21"/>
  <c r="C27" i="21"/>
  <c r="D26" i="21"/>
  <c r="E25" i="21"/>
  <c r="C63" i="11" l="1"/>
  <c r="AC39" i="4"/>
  <c r="C211" i="11"/>
  <c r="G17" i="32"/>
  <c r="J13" i="32"/>
  <c r="J13" i="33"/>
  <c r="G17" i="33"/>
  <c r="AE39" i="4"/>
  <c r="G17" i="30"/>
  <c r="J13" i="30"/>
  <c r="E26" i="21"/>
  <c r="D27" i="21"/>
  <c r="C28" i="21"/>
  <c r="L7" i="21"/>
  <c r="G36" i="11"/>
  <c r="X4" i="13" l="1"/>
  <c r="N23" i="16" s="1"/>
  <c r="J12" i="30" s="1"/>
  <c r="AC40" i="4"/>
  <c r="C64" i="11"/>
  <c r="C65" i="11" s="1"/>
  <c r="C66" i="11" s="1"/>
  <c r="C67" i="11" s="1"/>
  <c r="C68" i="11" s="1"/>
  <c r="C69" i="11" s="1"/>
  <c r="C70" i="11" s="1"/>
  <c r="C71" i="11" s="1"/>
  <c r="C72" i="11" s="1"/>
  <c r="C73" i="11" s="1"/>
  <c r="C74" i="11" s="1"/>
  <c r="C75" i="11" s="1"/>
  <c r="C76" i="11" s="1"/>
  <c r="C77" i="11" s="1"/>
  <c r="C78" i="11" s="1"/>
  <c r="C79" i="11" s="1"/>
  <c r="C80" i="11" s="1"/>
  <c r="C212" i="11"/>
  <c r="AE40" i="4"/>
  <c r="B8" i="8"/>
  <c r="B8" i="6"/>
  <c r="B8" i="7"/>
  <c r="B8" i="5"/>
  <c r="B8" i="4"/>
  <c r="D28" i="21"/>
  <c r="E28" i="21" s="1"/>
  <c r="E27" i="21"/>
  <c r="C24" i="4"/>
  <c r="C25" i="4"/>
  <c r="D24" i="4" l="1"/>
  <c r="F24" i="4"/>
  <c r="G24" i="4" s="1"/>
  <c r="C213" i="11"/>
  <c r="D25" i="4"/>
  <c r="F25" i="4"/>
  <c r="G25" i="4" s="1"/>
  <c r="B32" i="4"/>
  <c r="B31" i="4"/>
  <c r="E9" i="9"/>
  <c r="D9" i="9"/>
  <c r="L5" i="21"/>
  <c r="B36" i="4" l="1"/>
  <c r="K9" i="9" s="1"/>
  <c r="O9" i="9" s="1"/>
  <c r="C214" i="11"/>
  <c r="F9" i="9"/>
  <c r="N9" i="9" s="1"/>
  <c r="B33" i="4"/>
  <c r="G183" i="11"/>
  <c r="X7" i="13" l="1"/>
  <c r="N23" i="19" s="1"/>
  <c r="J12" i="33" s="1"/>
  <c r="C215" i="11"/>
  <c r="C216" i="11" s="1"/>
  <c r="C217" i="11" s="1"/>
  <c r="C218" i="11" s="1"/>
  <c r="C219" i="11" s="1"/>
  <c r="C220" i="11" s="1"/>
  <c r="C221" i="11" s="1"/>
  <c r="C222" i="11" s="1"/>
  <c r="C223" i="11" s="1"/>
  <c r="C224" i="11" s="1"/>
  <c r="C225" i="11" s="1"/>
  <c r="C226" i="11" s="1"/>
  <c r="C227" i="11" s="1"/>
</calcChain>
</file>

<file path=xl/sharedStrings.xml><?xml version="1.0" encoding="utf-8"?>
<sst xmlns="http://schemas.openxmlformats.org/spreadsheetml/2006/main" count="1220" uniqueCount="502">
  <si>
    <t>Σενάριο</t>
  </si>
  <si>
    <t>Μπαταρία kWh</t>
  </si>
  <si>
    <t>Όριο kWh/μήνα</t>
  </si>
  <si>
    <t>CAPEX μπαταρίας €</t>
  </si>
  <si>
    <t>Ισχύς ΦΒ kWp</t>
  </si>
  <si>
    <t>CAPEX ΦΒ €</t>
  </si>
  <si>
    <t>Μείωση CAPEX ΦΒ €</t>
  </si>
  <si>
    <t>Συνολικό CAPEX €</t>
  </si>
  <si>
    <t>Καθαρή μείωση CAPEX €</t>
  </si>
  <si>
    <t>Παραγωγή kWh</t>
  </si>
  <si>
    <t>Άμεση αυτοκατανάλωση kWh</t>
  </si>
  <si>
    <t>Αυτοκατανάλωση από μπαταρία kWh</t>
  </si>
  <si>
    <t>Συνολική αυτοκατανάλωση kWh</t>
  </si>
  <si>
    <t>Αγοραζόμενες kWh</t>
  </si>
  <si>
    <t>Μείωση αγοραζόμενων kWh</t>
  </si>
  <si>
    <t>Περίσσεια kWh</t>
  </si>
  <si>
    <t>Όφελος αυτοκατανάλωσης €</t>
  </si>
  <si>
    <t>Αποζημίωση περίσσειας €</t>
  </si>
  <si>
    <t>Μεταβολή αποζημίωσης €</t>
  </si>
  <si>
    <t>Ετήσιο όφελος €</t>
  </si>
  <si>
    <t>NPV 25ετίας €</t>
  </si>
  <si>
    <t>IRR</t>
  </si>
  <si>
    <t>PBP</t>
  </si>
  <si>
    <t>DPP</t>
  </si>
  <si>
    <t>Α/Α</t>
  </si>
  <si>
    <t>Τιμή</t>
  </si>
  <si>
    <t>Μονάδα</t>
  </si>
  <si>
    <t>1</t>
  </si>
  <si>
    <t>kWp</t>
  </si>
  <si>
    <t>Έτος</t>
  </si>
  <si>
    <t>2</t>
  </si>
  <si>
    <t>3</t>
  </si>
  <si>
    <t>4</t>
  </si>
  <si>
    <t>kWh/kWp</t>
  </si>
  <si>
    <t>5</t>
  </si>
  <si>
    <t>kWh/έτος</t>
  </si>
  <si>
    <t>%</t>
  </si>
  <si>
    <t>€/kWh</t>
  </si>
  <si>
    <t>€</t>
  </si>
  <si>
    <t>ΦΠΑ</t>
  </si>
  <si>
    <t>έτη</t>
  </si>
  <si>
    <t>Απλή περίοδος απόσβεσης</t>
  </si>
  <si>
    <t>€/kWp</t>
  </si>
  <si>
    <t>Προεξοφλητικό επιτόκιο</t>
  </si>
  <si>
    <t>Ταυτοχρονισμός</t>
  </si>
  <si>
    <t>Μήνας</t>
  </si>
  <si>
    <t>€/έτος</t>
  </si>
  <si>
    <t>Τιμή αγοράς €/kWh</t>
  </si>
  <si>
    <t>Μεταβολή αποζημίωσης</t>
  </si>
  <si>
    <t>CAPEX €</t>
  </si>
  <si>
    <t>CAPEX</t>
  </si>
  <si>
    <t>NPV</t>
  </si>
  <si>
    <t>Φύλλο δ: Ευαισθησία ως προς το προεξοφλητικό επιτόκιο</t>
  </si>
  <si>
    <t>Βασικές παραδοχές</t>
  </si>
  <si>
    <t>CAPEX βάσης</t>
  </si>
  <si>
    <t>Καθαρή ετήσια χρηματορροή</t>
  </si>
  <si>
    <t>Χρονική Περίοδος</t>
  </si>
  <si>
    <t>Επιτόκιο βάσης</t>
  </si>
  <si>
    <t>IRR βάσης</t>
  </si>
  <si>
    <t>DPP βάσης</t>
  </si>
  <si>
    <t>Σενάρια επιτοκίου και ευαισθησία DPP</t>
  </si>
  <si>
    <t>DPP έτη</t>
  </si>
  <si>
    <t>ΔDPP από βάση</t>
  </si>
  <si>
    <t>%Δ επιτοκίου</t>
  </si>
  <si>
    <t>%Δ DPP</t>
  </si>
  <si>
    <t>Ευαισθησία DPP</t>
  </si>
  <si>
    <t>PV CF 0%</t>
  </si>
  <si>
    <t>Σωρ. NPV 0%</t>
  </si>
  <si>
    <t>PV CF 1%</t>
  </si>
  <si>
    <t>Σωρ. NPV 1%</t>
  </si>
  <si>
    <t>PV CF 2%</t>
  </si>
  <si>
    <t>Σωρ. NPV 2%</t>
  </si>
  <si>
    <t>PV CF 3%</t>
  </si>
  <si>
    <t>Σωρ. NPV 3%</t>
  </si>
  <si>
    <t>PV CF 4%</t>
  </si>
  <si>
    <t>Σωρ. NPV 4%</t>
  </si>
  <si>
    <t>PV CF 5%</t>
  </si>
  <si>
    <t>Σωρ. NPV 5%</t>
  </si>
  <si>
    <t>PV CF 6%</t>
  </si>
  <si>
    <t>Σωρ. NPV 6%</t>
  </si>
  <si>
    <t>PV CF 7%</t>
  </si>
  <si>
    <t>Σωρ. NPV 7%</t>
  </si>
  <si>
    <t>PV CF 8%</t>
  </si>
  <si>
    <t>Σωρ. NPV 8%</t>
  </si>
  <si>
    <t>PV CF 9%</t>
  </si>
  <si>
    <t>Σωρ. NPV 9%</t>
  </si>
  <si>
    <t>PV CF 10%</t>
  </si>
  <si>
    <t>Σωρ. NPV 10%</t>
  </si>
  <si>
    <t>Σύνοψη</t>
  </si>
  <si>
    <t>Ελάχιστο DPP</t>
  </si>
  <si>
    <t>Μέγιστο DPP</t>
  </si>
  <si>
    <t>Μεταβολή DPP μεταξύ ακραίων επιτοκίων</t>
  </si>
  <si>
    <t>NPV στο χαμηλότερο επιτόκιο</t>
  </si>
  <si>
    <t>NPV στο υψηλότερο επιτόκιο</t>
  </si>
  <si>
    <t>Μέση απόλυτη ευαισθησία DPP</t>
  </si>
  <si>
    <t>Ερμηνεία: Η ευαισθησία υπολογίζεται ως (% μεταβολή DPP) / (% μεταβολή επιτοκίου). Η γραμμή όπου το επιτόκιο ισούται με το επιτόκιο βάσης δεν έχει συντελεστή ευαισθησίας, επειδή η μεταβολή του επιτοκίου είναι μηδενική. Το IRR μένει σταθερό γιατί οι χρηματορροές δεν αλλάζουν.</t>
  </si>
  <si>
    <t>Φύλλο ε: Ευαισθησία ως προς το κόστος ΦΒ / αρχικό CAPEX</t>
  </si>
  <si>
    <t>Καθαρή ετήσια χρηματορροή βάσης</t>
  </si>
  <si>
    <t>Σενάρια αύξησης κόστους ΦΒ και ευαισθησία DPP</t>
  </si>
  <si>
    <t>Μεταβολή σεναρίου</t>
  </si>
  <si>
    <t>%Δ παραμέτρου</t>
  </si>
  <si>
    <t>PV CF 0</t>
  </si>
  <si>
    <t>Σωρ. NPV 0</t>
  </si>
  <si>
    <t>PV CF 1</t>
  </si>
  <si>
    <t>Σωρ. NPV 1</t>
  </si>
  <si>
    <t>PV CF 2</t>
  </si>
  <si>
    <t>Σωρ. NPV 2</t>
  </si>
  <si>
    <t>PV CF 3</t>
  </si>
  <si>
    <t>Σωρ. NPV 3</t>
  </si>
  <si>
    <t>PV CF 4</t>
  </si>
  <si>
    <t>Σωρ. NPV 4</t>
  </si>
  <si>
    <t>PV CF 5</t>
  </si>
  <si>
    <t>Σωρ. NPV 5</t>
  </si>
  <si>
    <t>PV CF 6</t>
  </si>
  <si>
    <t>Σωρ. NPV 6</t>
  </si>
  <si>
    <t>PV CF 7</t>
  </si>
  <si>
    <t>Σωρ. NPV 7</t>
  </si>
  <si>
    <t>PV CF 8</t>
  </si>
  <si>
    <t>Σωρ. NPV 8</t>
  </si>
  <si>
    <t>PV CF 9</t>
  </si>
  <si>
    <t>Σωρ. NPV 9</t>
  </si>
  <si>
    <t>PV CF 10</t>
  </si>
  <si>
    <t>Σωρ. NPV 10</t>
  </si>
  <si>
    <t>Μεταβολή DPP μεταξύ ακραίων σεναρίων</t>
  </si>
  <si>
    <t>NPV στο κόστος βάσης</t>
  </si>
  <si>
    <t>NPV στο υψηλότερο κόστος</t>
  </si>
  <si>
    <t>Φύλλο ζ: Ευαισθησία ως προς την τιμή αποζημίωσης kWh</t>
  </si>
  <si>
    <t>Τιμή αποζημίωσης βάσης</t>
  </si>
  <si>
    <t>Πλεονάζουσα ενέργεια βάσης</t>
  </si>
  <si>
    <t>Σενάρια αύξησης τιμής αποζημίωσης kWh και ευαισθησία DPP</t>
  </si>
  <si>
    <t>Τιμή αποζημίωσης €/kWh</t>
  </si>
  <si>
    <t>NPV στη χαμηλότερη τιμή αποζημίωσης</t>
  </si>
  <si>
    <t>NPV στην υψηλότερη τιμή αποζημίωσης</t>
  </si>
  <si>
    <t>Ερμηνεία: Εδώ αυξάνεται μόνο η τιμή αποζημίωσης της πλεονάζουσας ενέργειας. Επειδή αυξάνει το ετήσιο όφελος, το DPP αναμένεται να μειώνεται και η ευαισθησία να έχει αρνητικό πρόσημο.</t>
  </si>
  <si>
    <t>Φύλλο ιε: Ευαισθησία ως προς την τιμή αγοράς kWh</t>
  </si>
  <si>
    <t>Τιμή αγοράς βάσης</t>
  </si>
  <si>
    <t>Αυτοκατανάλωση βάσης</t>
  </si>
  <si>
    <t>Σενάρια αύξομείωσης τιμής αγοράς kWh και ευαισθησία DPP</t>
  </si>
  <si>
    <t>NPV στη χαμηλότερη τιμή αγοράς</t>
  </si>
  <si>
    <t>NPV στην υψηλότερη τιμή αγοράς</t>
  </si>
  <si>
    <t>Φύλλο η: Ευαισθησία ως προς τον συντελεστή ταυτοχρονισμού</t>
  </si>
  <si>
    <t>Συντελεστής βάσης</t>
  </si>
  <si>
    <t>Σενάρια αύξησης ταυτοχρονισμού και ευαισθησία DPP</t>
  </si>
  <si>
    <t>Σταθμισμένος συντελεστής</t>
  </si>
  <si>
    <t>NPV στον χαμηλότερο ταυτοχρονισμό</t>
  </si>
  <si>
    <t>NPV στον υψηλότερο ταυτοχρονισμό</t>
  </si>
  <si>
    <t>Φύλλο θ: Συγκεντρωτική σύγκριση ευαισθησίας DPP και NPV</t>
  </si>
  <si>
    <t>Συγκεντρωτικός πίνακας ευαισθησίας</t>
  </si>
  <si>
    <t>Σειρά</t>
  </si>
  <si>
    <t>Παράμετρος</t>
  </si>
  <si>
    <t>Εύρος DPP</t>
  </si>
  <si>
    <t>NPV βάσης</t>
  </si>
  <si>
    <t>Ελάχιστο NPV</t>
  </si>
  <si>
    <t>Μέγιστο NPV</t>
  </si>
  <si>
    <t>Εύρος NPV</t>
  </si>
  <si>
    <t>Συμπέρασμα</t>
  </si>
  <si>
    <t>Αρχικό κόστος ΦΒ / CAPEX</t>
  </si>
  <si>
    <t>Η αύξηση CAPEX επιμηκύνει την απόσβεση και μειώνει άμεσα την καθαρή αξία.</t>
  </si>
  <si>
    <t>Συντελεστής ταυτοχρονισμού</t>
  </si>
  <si>
    <t>Η βελτίωση ταυτοχρονισμού αυξάνει την αξία της αυτοκατανάλωσης και μειώνει τον DPP.</t>
  </si>
  <si>
    <t>Τιμή αποζημίωσης περίσσειας kWh</t>
  </si>
  <si>
    <t>Επηρεάζει κυρίως την αξία της περίσσειας, άρα είναι σημαντική όταν υπάρχει μεγάλη έγχυση.</t>
  </si>
  <si>
    <t>Τιμή αγοράς kWh</t>
  </si>
  <si>
    <t>Κρίσιμος παράγοντας, επειδή καθορίζει την οικονομική αξία κάθε kWh αυτοκατανάλωσης.</t>
  </si>
  <si>
    <t>Επηρεάζει έντονα το NPV, επειδή προεξοφλεί όλες τις μελλοντικές χρηματορροές.</t>
  </si>
  <si>
    <t>Φύλλο ι: Σενάρια μείωσης ΦΒ, μπαταρίας και CAPEX</t>
  </si>
  <si>
    <t>Εξετάζεται επιπλέον αν μπορεί να μειωθεί η ισχύς ΦΒ χωρίς προσθήκη μπαταρίας. Παράλληλα εξετάζονται τα σενάρια με μπαταρία. Η αποδοχή κάθε σεναρίου γίνεται μόνο όταν οι ετήσιες αγοραζόμενες kWh δεν αυξάνονται σε σχέση με τη βάση και το DPP δεν γίνεται μεγαλύτερο από το DPP βάσης.</t>
  </si>
  <si>
    <t>Βασική ισχύς ΦΒ</t>
  </si>
  <si>
    <t>CAPEX ΦΒ βάσης</t>
  </si>
  <si>
    <t>Μέσο κόστος ΦΒ</t>
  </si>
  <si>
    <t>Τιμή αγοράς ρεύματος</t>
  </si>
  <si>
    <t>Τιμή αποζημίωσης περίσσειας</t>
  </si>
  <si>
    <t>Χρονική περίοδος</t>
  </si>
  <si>
    <t>Ετήσιο όφελος βάσης</t>
  </si>
  <si>
    <t>Ετήσιες kWh/kWp</t>
  </si>
  <si>
    <t>kWh</t>
  </si>
  <si>
    <t>Αγοραζόμενες kWh βάσης</t>
  </si>
  <si>
    <t>Αποζημίωση περίσσειας βάσης</t>
  </si>
  <si>
    <t>Αρχική τιμή μπαταρίας ανά βήμα 2,5 kWh</t>
  </si>
  <si>
    <t>Επιδότηση Μπαταρίας %</t>
  </si>
  <si>
    <t>Καθαρή τιμή μπαταρίας ανά βήμα 2,5 kWh</t>
  </si>
  <si>
    <t>Αύξηση Μηνιαίας Κατανάλωσης %</t>
  </si>
  <si>
    <t>Κατανάλωση kWh</t>
  </si>
  <si>
    <t>Βασικός συντ. ταυτοχρονισμού</t>
  </si>
  <si>
    <t>Σύνολο / μέσο</t>
  </si>
  <si>
    <t>Παραδοχές σεναρίων μπαταρίας</t>
  </si>
  <si>
    <t>Μπαταρία 2.5 kWh</t>
  </si>
  <si>
    <t>Μπαταρία 5 kWh</t>
  </si>
  <si>
    <t>Μπαταρία 7.5 kWh</t>
  </si>
  <si>
    <t>Μπαταρία 10 kWh</t>
  </si>
  <si>
    <t>Χωρίς μπαταρία</t>
  </si>
  <si>
    <t>Αναλυτικοί Υπολογισμοί Σεναρίων</t>
  </si>
  <si>
    <t>PV CF βάσης</t>
  </si>
  <si>
    <t>Σωρ. NPV βάσης</t>
  </si>
  <si>
    <t>Σενάριο 1: Μπαταρία 2.5 kWh</t>
  </si>
  <si>
    <t>Επιλεγμένη ισχύς ΦΒ kWp</t>
  </si>
  <si>
    <t>Δοκιμαστικές ισχείς ΦΒ</t>
  </si>
  <si>
    <t>Αυτοκατανάλωση kWh</t>
  </si>
  <si>
    <t>Κριτήριο (1/0)</t>
  </si>
  <si>
    <t>Υπολογισμός DPP τελικού σεναρίου</t>
  </si>
  <si>
    <t>PV CF</t>
  </si>
  <si>
    <t>Σωρ. NPV</t>
  </si>
  <si>
    <t>Σενάριο 2: Μπαταρία 5 kWh</t>
  </si>
  <si>
    <t>Σενάριο 3: Μπαταρία 7.5 kWh</t>
  </si>
  <si>
    <t>Σενάριο 4: Μπαταρία 10 kWh</t>
  </si>
  <si>
    <t>Σενάριο 5: Χωρίς μπαταρία</t>
  </si>
  <si>
    <t>Σενάρια αύξησης κατανάλωσης και επιδότησης μπαταρίας</t>
  </si>
  <si>
    <t>Αύξηση κατανάλωσης %</t>
  </si>
  <si>
    <t>Συντελεστής κατανάλωσης</t>
  </si>
  <si>
    <t>Επιδότηση μπαταρίας %</t>
  </si>
  <si>
    <t>ID</t>
  </si>
  <si>
    <t>Σενάριο μπαταρίας</t>
  </si>
  <si>
    <t>Ενδεικτικός πίνακας DPP για το γράφημα</t>
  </si>
  <si>
    <t>Απόδοση Εγκατάστασης - Μηδενικό Σενάριο</t>
  </si>
  <si>
    <t>Κόστος kWh (euro/kwh)</t>
  </si>
  <si>
    <t>Αποζημείωση υπολειπόμενων kWh (euro/kwh)</t>
  </si>
  <si>
    <t>Μηνιαίο όριο μπαταρίας (kWh)</t>
  </si>
  <si>
    <t>Εγκατεστημένη Ισχύς Φωτοβολταϊκής Γεννήτριας</t>
  </si>
  <si>
    <t>Συνολικό CAPEX (euro)</t>
  </si>
  <si>
    <t>ΠΑΡΑΓΩΓΗ 
(από PvGis )</t>
  </si>
  <si>
    <t>ΚΑΤΑΝΑΛΩΣΗ / ΧΩΡΙΣ ΜΠΑΤΑΡΙΑ</t>
  </si>
  <si>
    <t>ΠΕΡΙΣΣΕΙΑ / ΟΙΚΟΝΟΜΙΚΑ</t>
  </si>
  <si>
    <t>Month</t>
  </si>
  <si>
    <t>kWh/kW</t>
  </si>
  <si>
    <t>ΠΑΡΑΓΩΓΗ 
Total kWh</t>
  </si>
  <si>
    <t>Μηνιαία Κατανάλωση (kWh)</t>
  </si>
  <si>
    <t>Βασικός Συντ. Ταυτοχρονισμού</t>
  </si>
  <si>
    <t>Άμεση Αυτοκατανάλωση (kWh)</t>
  </si>
  <si>
    <t>Αγοραζόμενες kWh πριν αποθήκευση</t>
  </si>
  <si>
    <t>Περίσσεια πριν αποθήκευση (kWh)</t>
  </si>
  <si>
    <t>Αυτοκατανάλωση από μπαταρία (kWh)</t>
  </si>
  <si>
    <t>Συνολική Αυτοκατανάλωση (kWh)</t>
  </si>
  <si>
    <t>Περίσσεια ΦΒ (kWh)</t>
  </si>
  <si>
    <t>Μηνιαία Αποζημείωση (euro)</t>
  </si>
  <si>
    <t>Συνολικό Όφελος (euro)</t>
  </si>
  <si>
    <t>Total per year</t>
  </si>
  <si>
    <t>CAPEX μπαταρίας</t>
  </si>
  <si>
    <t>Μείωση CAPEX ΦΒ</t>
  </si>
  <si>
    <t>Καθαρή μείωση CAPEX</t>
  </si>
  <si>
    <t>Απόδοση Εγκατάστασης</t>
  </si>
  <si>
    <t>Εγατεστημένη Ισχύς Φωτοβολταϊκής Γεννήτριας</t>
  </si>
  <si>
    <t>ΚΑΤΑΝΑΛΩΣΗ / ΜΠΑΤΑΡΙΑ</t>
  </si>
  <si>
    <t>Αγοραζόμενες πριν μπαταρία (kWh)</t>
  </si>
  <si>
    <t>Περίσσεια πριν μπαταρία (kWh)</t>
  </si>
  <si>
    <t>Αγοραζόμενες μετά μπαταρία (kWh)</t>
  </si>
  <si>
    <t>Υπολειπόμενες / Περίσσεια (kWh)</t>
  </si>
  <si>
    <t>ΚΑΤΑΝΑΛΩΣΗ</t>
  </si>
  <si>
    <t>Ποσοστό Ιδιο-κατανάλωσης</t>
  </si>
  <si>
    <t>Συμψηφιζόμενη Ισχύ (kWh)</t>
  </si>
  <si>
    <t>Μηνιαίο Όφελος ενεργειακού συμψηφισμού (euro)</t>
  </si>
  <si>
    <t>Υπολειπόμενες (kWh)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</si>
  <si>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</si>
  <si>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</si>
  <si>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</si>
  <si>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</si>
  <si>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</si>
  <si>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</si>
  <si>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</si>
  <si>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</si>
  <si>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</si>
  <si>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</si>
  <si>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</si>
  <si>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</si>
  <si>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ΕΤΟΣ</t>
  </si>
  <si>
    <t>Ετήσιο Όφελος     (€)</t>
  </si>
  <si>
    <t>Καθαρή Παρούσα Αξία</t>
  </si>
  <si>
    <t>Αθροιστικό Όφελος( € )</t>
  </si>
  <si>
    <t>Εξέλιξη Επένδυσης (€)</t>
  </si>
  <si>
    <t>Επιτόκιο</t>
  </si>
  <si>
    <t xml:space="preserve">Περιγραφή </t>
  </si>
  <si>
    <t>Η συνολική επένδυση  ανέρχεται σε  (ευρώ) (χωρίς ΦΠΑ)</t>
  </si>
  <si>
    <t>Όφελος κόστους ηλεκτρικής ενέργειας το πρώτο έτος (ευρώ)</t>
  </si>
  <si>
    <t>Συνολική εξοικονόμηση το 25 έτος (ευρώ)</t>
  </si>
  <si>
    <t>Προεξοφλημένη περίοδος απόσβεσης  (έτη) DPP</t>
  </si>
  <si>
    <t>ΠΡΟΜΗΘΕΥΤΗΣ</t>
  </si>
  <si>
    <t>Krannich</t>
  </si>
  <si>
    <t>ΕΙΔΟΣ</t>
  </si>
  <si>
    <t>Τύπος</t>
  </si>
  <si>
    <t>ΙΣΧΥΣ</t>
  </si>
  <si>
    <t>ΜΜ</t>
  </si>
  <si>
    <t>Ποσότητα</t>
  </si>
  <si>
    <t>Σύνολο Ισχύος</t>
  </si>
  <si>
    <t>TIMH /MM</t>
  </si>
  <si>
    <t>Έκπτωση</t>
  </si>
  <si>
    <t>ΣΥΝΟΛΟ</t>
  </si>
  <si>
    <t>Inverter υβριδικός τριφασικός</t>
  </si>
  <si>
    <t>IVH FR SYMO GEN24 10.0 PLUS</t>
  </si>
  <si>
    <t>ΤΕΜ</t>
  </si>
  <si>
    <t>IVH FR SYMO GEN24 8.0 PLUS</t>
  </si>
  <si>
    <t>IVH FR SYMO GEN24 6.0 PLUS</t>
  </si>
  <si>
    <t>IVH FR SYMO GEN24 5.0 PLUS</t>
  </si>
  <si>
    <t>IVH FR SYMO GEN24 4.0 PLUS</t>
  </si>
  <si>
    <t>Panel</t>
  </si>
  <si>
    <t>SM LUXOR</t>
  </si>
  <si>
    <t>IVH KO Plenticore 3.0 Plus G2</t>
  </si>
  <si>
    <t>IVH KO Plenticore 4.2 Plus G2</t>
  </si>
  <si>
    <t>IVH KO Plenticore 5.5 Plus G2</t>
  </si>
  <si>
    <t>IVH KO Plenticore 7.0 Plus G2</t>
  </si>
  <si>
    <t>IVH KO Plenticore 8.5 Plus G2</t>
  </si>
  <si>
    <t>IVH KO Plenticore 10 Plus G2</t>
  </si>
  <si>
    <t>Inverter</t>
  </si>
  <si>
    <t xml:space="preserve">SMA STP X 20-50 SMA 
Sunny Tripower X 20-50 | Max DC ( Input) : 30kWp </t>
  </si>
  <si>
    <t>DC KO Activation Code Battery Plenticore</t>
  </si>
  <si>
    <t xml:space="preserve">MiniRail SET </t>
  </si>
  <si>
    <t xml:space="preserve">K2-Systems including 4 screws with washer </t>
  </si>
  <si>
    <t>Τεγίδες</t>
  </si>
  <si>
    <t>K2 MR K2L 5.50</t>
  </si>
  <si>
    <t>τεμ</t>
  </si>
  <si>
    <t>SM LX-610TC 2.38x1.13 τεμ 12</t>
  </si>
  <si>
    <t>SM LX-5700TC 2.28x1.13 τεμ 19</t>
  </si>
  <si>
    <t>Ενδιάμεσο τεμάχιο στήριξης πάνελ με πάχος 32-42mm</t>
  </si>
  <si>
    <t>K2 MC Universal Clamp OneMid SILVER 32-42mm</t>
  </si>
  <si>
    <t>TEM</t>
  </si>
  <si>
    <t>Σύνδεσμος Τεγίδας</t>
  </si>
  <si>
    <t>K2 SV RC K2L SET</t>
  </si>
  <si>
    <t>Πλευρικό τεμάχιο στήριξης πάνελ με πάχος 32-42 mm</t>
  </si>
  <si>
    <t>K2 EC Universal Clamp OneEnd SILVER 32-42mm</t>
  </si>
  <si>
    <t xml:space="preserve">Τεμάχιο τοποθέτησης σε κεραμοσκεπή </t>
  </si>
  <si>
    <t>K2 DH RF PA VARIO 2 | 5/6x30</t>
  </si>
  <si>
    <t>Τρίγωνο Για φ/β πάνελ Μήκους: 1580mm-1680mm Κλίση Τριγώνου: 30°</t>
  </si>
  <si>
    <t>K2 TRIANGLE 30° | 1580-1680 Portrait</t>
  </si>
  <si>
    <t>IVH FR SYMO GEN24 3.0 PLUS</t>
  </si>
  <si>
    <t>Κοχλίας τοποθέτησης σε ξύλινους δοκούς στέγης | Υλικό: Ανοξείδωτος Χάλυβας</t>
  </si>
  <si>
    <t>K2 RF HB M10x200 PA BC</t>
  </si>
  <si>
    <t>Τριφασικός Μετρητής</t>
  </si>
  <si>
    <t>MC HEX HXE 310</t>
  </si>
  <si>
    <t>MODEM</t>
  </si>
  <si>
    <t>MCL 5.10 Συμπεριλαμβάνεται στον μετρητή</t>
  </si>
  <si>
    <t>Κουτί Μετρητή</t>
  </si>
  <si>
    <t>MC Plastic Box for ELGAMA/HEXING 3 phase</t>
  </si>
  <si>
    <t>ΣΥΣΣΩΡΕΥΤΕΣ ΙΟΝΤΩΝ ΛΙΘΙΟΥ</t>
  </si>
  <si>
    <t>SB BYD B-BOX PREMIUM HVS (2,56 kWh)</t>
  </si>
  <si>
    <t>BCU Βάση Μπαταριών</t>
  </si>
  <si>
    <t>SBA BYD B-BOX PREMIUM HV BCU + BASE</t>
  </si>
  <si>
    <t>Καλώδιο DC Κόκκινο</t>
  </si>
  <si>
    <t>CB KBE 6,0 DB EN50618 RED 100M</t>
  </si>
  <si>
    <t>Καλώδιο DC Μαύρο</t>
  </si>
  <si>
    <t>CB KBE 6,0 DB EN50618  Black 100M</t>
  </si>
  <si>
    <t>Smart Meter</t>
  </si>
  <si>
    <t>Fronius Smart Meter DC FR SMART METER TS 65A-3</t>
  </si>
  <si>
    <t>KOSTAL SMART ENERGY METER | 3-Phase measurement up to 63 A Διαστάσεις: 88*70*65</t>
  </si>
  <si>
    <t>Βίδες</t>
  </si>
  <si>
    <t xml:space="preserve">K2 TB 28/15 M10x30	</t>
  </si>
  <si>
    <t>Παξιμάδια</t>
  </si>
  <si>
    <t>K2 CN NU M10 S</t>
  </si>
  <si>
    <t>Μεταφορικά</t>
  </si>
  <si>
    <t>ΑΠΟΚ</t>
  </si>
  <si>
    <t>Υλικά Πινάκων και Εγκατάστασης</t>
  </si>
  <si>
    <t>Ανυψωτικό</t>
  </si>
  <si>
    <t>ΔΙΑΦΟΡΑ ΕΞΟΔΑ</t>
  </si>
  <si>
    <t>ΚΟΣΤΟΣ ΥΛΙΚΩΝ</t>
  </si>
  <si>
    <t>ΚΟΣΤΟΣ ΕΡΓΑΣΙΩΝ</t>
  </si>
  <si>
    <t>Είσφορά ανακυκλωσης</t>
  </si>
  <si>
    <t>ΣΥΝΟΛΟ ΚΟΣΤΟΥΣ</t>
  </si>
  <si>
    <t>Ποσοστό Οφέλους</t>
  </si>
  <si>
    <t>Τιμολόγιο</t>
  </si>
  <si>
    <t>Όφελος</t>
  </si>
  <si>
    <t>Συνολικό τιμολόγιο</t>
  </si>
  <si>
    <t>ΠΕΡΙΓΡΑΦΗ</t>
  </si>
  <si>
    <t>A</t>
  </si>
  <si>
    <t>B</t>
  </si>
  <si>
    <t>Γ</t>
  </si>
  <si>
    <t>Τοποθέτηση  στηριγμάτων</t>
  </si>
  <si>
    <t xml:space="preserve">Τοποθέτηση  Τεγίδων  </t>
  </si>
  <si>
    <t>Τοποθέτηση  Φωτοβολταικών</t>
  </si>
  <si>
    <t xml:space="preserve">Τοποθέτηση πίνακα AC στο χώρο </t>
  </si>
  <si>
    <t xml:space="preserve">Τοποθέτηση πίνακα DC στο χώρο </t>
  </si>
  <si>
    <t>Τοποθέτηση Inverter</t>
  </si>
  <si>
    <t>Τοποθέτηση Μπαταριών</t>
  </si>
  <si>
    <t>Τοποθέτηση  Μετρητή Παραγωγής</t>
  </si>
  <si>
    <t>Τοποθέτηση  Διακόπτη Απομόνωσης</t>
  </si>
  <si>
    <t>Τοποθέτηση  Κουτιού Διακλάδωσης</t>
  </si>
  <si>
    <t>Τοποθέτηση πλαστικού καναλιού μεταξύ πινακών, μπαταριών και Inverter</t>
  </si>
  <si>
    <t>Όδευση καλωδιών DC μαζί με το Cu από τη Στέγη στο Ισόγειο μέχρι τον Πίνακα DC , με σωλήνα Κουβίδη επί του εξωτερικού τοίχου</t>
  </si>
  <si>
    <t>Όδευση καλωδιών ΑC από το χώρο των Πίνακα AC  μέχρι το χώρο του Μετρητή Παραγωγής με σωλήνα Κουβίδη</t>
  </si>
  <si>
    <t>Όδευση καλωδιών ΑC από  Μετρητή Παραγωγής με σωλήνα Κουβίδη στο Διακόπτη Απομόνωσης</t>
  </si>
  <si>
    <t>Όδευση καλωδιών ΑC από  Διακόπτη Απομόνωσης στον πίνακα διακλάδωσης</t>
  </si>
  <si>
    <t>Όδευση καλωδιών SFTP και 7x1 και αγωγού γείωσης σε σωλήνα Κουβίδη από τον INVERTER  μέχρι το κουτί Διακλάδωσης</t>
  </si>
  <si>
    <t xml:space="preserve">Σύνδεση καλωδίων DC Φωτοβολταϊκών στον Πίνακα DC </t>
  </si>
  <si>
    <t xml:space="preserve">Εγκατάσταση και Σύνδεση καλωδίων DC από τον Πίνακα DC στον Inverter </t>
  </si>
  <si>
    <t xml:space="preserve">Εγκατάσταση και Σύνδεση καλωδίων Μπαταριών στον Inverter </t>
  </si>
  <si>
    <t xml:space="preserve">Εγκατάσταση και Σύνδεση καλωδίων ΑC από τον Πίνακα ΑC  στον Inverter </t>
  </si>
  <si>
    <t>Σύνδεση καλωδίων SFTP και 7x1 με τον Inverter</t>
  </si>
  <si>
    <t>Σύνδεση καλωδίων ΑC στον Μετρητή Παραγωγής</t>
  </si>
  <si>
    <t>Σύνδεση καλωδίων ΑC Μετρητή Παραγωγής στο Κουτί Διακλάδωσης</t>
  </si>
  <si>
    <t>Εγκατασταση Ηλεκτροδίου Γείωσης και σύνδεση του στον Μετρητή Παραγωγής</t>
  </si>
  <si>
    <t>Γειώση μεταλλικών μερών Εξοπλισμού , inverter, μπαταρίες κλπ με Cu  (κάθε στοιχειοσειρά σε δύο σημεία)</t>
  </si>
  <si>
    <t>Δοκιμές Παραμετροποιήσεις Θέση σε Λειτουργία</t>
  </si>
  <si>
    <t>ΩΡΕΣ</t>
  </si>
  <si>
    <t>ΩΡΕΣ / ΗΜΕΡΑ</t>
  </si>
  <si>
    <t>Κόστος Εργασίας</t>
  </si>
  <si>
    <t>ΗΜΕΡΑ/2 ATOMA Α</t>
  </si>
  <si>
    <t>ΗΜΕΡΑ/2 ATOMA Β</t>
  </si>
  <si>
    <t>ΗΜΕΡΑ/2 ATOMA Γ</t>
  </si>
  <si>
    <t>α/α</t>
  </si>
  <si>
    <t>ΤΥΠΟΣ</t>
  </si>
  <si>
    <t>ABB CODE</t>
  </si>
  <si>
    <t>ΠΟΣ</t>
  </si>
  <si>
    <t xml:space="preserve">Τιμή </t>
  </si>
  <si>
    <t>Σύνολο</t>
  </si>
  <si>
    <t xml:space="preserve">CU1204 MISTRAL 65 </t>
  </si>
  <si>
    <t>CU1204 ΠΙΝΑΚΑΣ 2X12M ΔΙΑΦ ΠΟΡΤ MISTRAL65</t>
  </si>
  <si>
    <t>CU1206 MISTRAL 65</t>
  </si>
  <si>
    <t>CU1206 ΠΙΝΑΚΑΣ 3X12M ΔΙΑΦ ΠΟΡΤ MISTRAL65</t>
  </si>
  <si>
    <t>CU1201 MISTRAL 65</t>
  </si>
  <si>
    <t>CU1201 ΠΙΝΑΚΑΣ 1X8M ΔΙΑΦ ΠΟΡΤ MISTRAL65</t>
  </si>
  <si>
    <t>LK1931</t>
  </si>
  <si>
    <t>LK1931 ΚΛΕΙΔΑΡΕΙΑ ΜΕ ΚΛΕΙΔΙ MISTRAL65</t>
  </si>
  <si>
    <t>DBL80</t>
  </si>
  <si>
    <t>DBL80A ΜΟΝΟΠΟΛΙΚΟ ΜΠΛΟΚ ΔΙΑΝΟΜΗΣ</t>
  </si>
  <si>
    <t>SD204-32</t>
  </si>
  <si>
    <t xml:space="preserve">Τετραπολικοί Ραγοδιακόπτες Φορτίου 32A </t>
  </si>
  <si>
    <t>SD204-40</t>
  </si>
  <si>
    <t xml:space="preserve">Τετραπολικοί Ραγοδιακόπτες Φορτίου 40A </t>
  </si>
  <si>
    <t>F204A-25/0.03</t>
  </si>
  <si>
    <t>F204A-25/0,03 ΑΝΤΙΗΛΕΚΤΡΟΠΛΗΞΙΑΚΟΣ</t>
  </si>
  <si>
    <t>F204A-40/0.03</t>
  </si>
  <si>
    <t>F204A-40/0,03 ΑΝΤΙΗΛΕΚΤΡΟΠΛΗΞΙΑΚΟΣ</t>
  </si>
  <si>
    <t>F204A-63/0.03</t>
  </si>
  <si>
    <t>F204A-63/0,03 ΑΝΤΙΗΛΕΚΤΡΟΠΛΗΞΙΑΚΟΣ</t>
  </si>
  <si>
    <t>E93/32 3P+N</t>
  </si>
  <si>
    <t>Ασφαλειοαποζεύκτης Ράγας Τετραπολικός</t>
  </si>
  <si>
    <t>E93/50 3P+N</t>
  </si>
  <si>
    <t>Κυλινδρική Ασφάλεια 40Α 10x38 400V AC</t>
  </si>
  <si>
    <t>Κυλινδρική Ασφάλεια 32Α 10x38 400V AC</t>
  </si>
  <si>
    <t>OVR T2-T3 3N 20-275 P QS</t>
  </si>
  <si>
    <t>OVR T2-T3 3N 20-275 P QS ΑΠΑΓΩΓ.ΥΠΕΡΤ</t>
  </si>
  <si>
    <t>S802PV-SD32</t>
  </si>
  <si>
    <t>Διπολικοί ραγοδιακόπτες φορτίου, 800 V DC</t>
  </si>
  <si>
    <t>E92/32PV</t>
  </si>
  <si>
    <t>Ασφαλειοθήκη κυλινδρικής ασφάλειας 2P 10x38 32A</t>
  </si>
  <si>
    <t>Κυλινδρικές Ασφάλειες 20Α 10x38 1000V AC /DC FERRAZ</t>
  </si>
  <si>
    <t>OVR PV T2 40-1000P</t>
  </si>
  <si>
    <t>Απαγωγός υπερτάσεων 1.000 V DC, Imax=40 kA, Up=4 kV</t>
  </si>
  <si>
    <t>PS 4/12</t>
  </si>
  <si>
    <t>PS4/12 ΜΠΑΡΑ ΤΕΜΑΧ. 4P 12ΣΤ.ΜΕ ΜΟΝΩΣΗ</t>
  </si>
  <si>
    <t>Κανάλι κρεμ λευκό 120Χ60  ΜΕ ΚΑΠΑΚΙ</t>
  </si>
  <si>
    <t xml:space="preserve">Μ </t>
  </si>
  <si>
    <t>NYY 5x16</t>
  </si>
  <si>
    <t>Καλώδιο 0,6/1kV NYY J1VV-R 5X16mm²</t>
  </si>
  <si>
    <t>NYΜΗΥ 5x10</t>
  </si>
  <si>
    <t>Καλώδιο ΕΥΚΑΜΠΤΟ ΝΥΜΗΥ 5X10mm²</t>
  </si>
  <si>
    <t>Μ</t>
  </si>
  <si>
    <t>NYΜΗΥ 5x16</t>
  </si>
  <si>
    <t>Καλώδιο ΕΥΚΑΜΠΤΟ ΝΥΜΗΥ 5X16mm²</t>
  </si>
  <si>
    <t>1x6 ΜΑΥΡΟ</t>
  </si>
  <si>
    <t>Καλώδιο ΕΥΚΑΜΠΤΟ SOLAR ΜΑΥΡΟ 1X6mm²</t>
  </si>
  <si>
    <t>1x6 ΚΟΚΚΙΝΟ</t>
  </si>
  <si>
    <t>Καλώδιο ΕΥΚΑΜΠΤΟ SOLAR ΚΟΚΚΙΝΟ 1X6mm²</t>
  </si>
  <si>
    <t xml:space="preserve">FTP </t>
  </si>
  <si>
    <t>Καλώδιο F/FTP 2X23AWG 4 6 Για εξωτερική χρήση (11109407)</t>
  </si>
  <si>
    <t>Καλώδιο ελέγχου 7X1mm² Γκρι αριθμημένο</t>
  </si>
  <si>
    <t>Σώλήνας ευθύγραμμος πλαστικός βαρεώς τύπου ΚΟΥΒΙΔΗ</t>
  </si>
  <si>
    <t>Σώλήνας ΣΠΙΡΑΛ πλαστικός βαρεώς τύπου 32μμ ΚΟΥΒΙΔΗ</t>
  </si>
  <si>
    <t>Στηρίγματα  για την σωλήνα</t>
  </si>
  <si>
    <t>Μούφες για την σωλήνα</t>
  </si>
  <si>
    <t>ΝΥΑF 1x10 Μαύρο , καφέ, µαύρο, γκρι, κιτρινοπράσινο, µπλε από 6μ σύνολο 50</t>
  </si>
  <si>
    <t>ΑΠΌ</t>
  </si>
  <si>
    <t xml:space="preserve">ΝΥΑF 1x4 Μαύρο , καφέ, γκρι, κιτρινοπράσινο, µπλε από 5μ </t>
  </si>
  <si>
    <t>Στυπιοθλήπτες IP68 PG 29</t>
  </si>
  <si>
    <t>Στυπιοθλήπτες IP68 PG 11</t>
  </si>
  <si>
    <t>Ηλεκτρόδιο γείωσης Ελέμκο3/4"x1500mm E-Cu με ελάχιστο πάχος ηλεκτρολυτικής επιχάλκωσης 254μm</t>
  </si>
  <si>
    <t>Σφιγκτήρας ηλεκτροδίου γείωσης, Ελέμκο, 3/4" Cu-A για ράβδο Φ17 και αγωγό 16mm2</t>
  </si>
  <si>
    <t>Ακροδέκτες Χαλκού 16μμ2 φ8</t>
  </si>
  <si>
    <t>Πλαστικό Κουτί επιθέωρησης Ηλεκτροδίου Γειώσης</t>
  </si>
  <si>
    <t xml:space="preserve">Αγωγός Χαλκού Πολύκλωνος 16mm2 </t>
  </si>
  <si>
    <t>KG</t>
  </si>
  <si>
    <t xml:space="preserve">ΣΥΝΟΛΟ ΥΛΙΚΩΝ </t>
  </si>
  <si>
    <t>Λείπουν</t>
  </si>
  <si>
    <t>Το καλώδιο προς τον πίνακα από μετρητή</t>
  </si>
  <si>
    <t>ο διακόπτης μέσα στον Πίνακα</t>
  </si>
  <si>
    <t>και ο πίνακας/διακόπτης απομόνωσης του φωτοβολταϊκού</t>
  </si>
  <si>
    <t>Συμπυκνωμένος πίνακας μηδενικού σεναρίου</t>
  </si>
  <si>
    <t>Οι τιμές του πίνακα τραβούν με τύπους από το φύλλο 'κ_Μηδενικό_Σενάριο'. Το φύλλο χρησιμοποιείται ως πηγή πινάκων/διαγραμμάτων για το κύριο σώμα του Word.</t>
  </si>
  <si>
    <t>Παραγωγή ΦΒ kWh</t>
  </si>
  <si>
    <t>Συνολικό όφελος €</t>
  </si>
  <si>
    <t>Σύνολο έτους</t>
  </si>
  <si>
    <t>Μηνιαίο όριο μπαταρίας kWh</t>
  </si>
  <si>
    <t>Συμπυκνωμένος πίνακας μπαταρίας 2,5 kWh</t>
  </si>
  <si>
    <t>Οι τιμές του πίνακα τραβούν με τύπους από το φύλλο 'κ_Απόδ_Μπαταρία_2_5'. Το φύλλο χρησιμοποιείται ως πηγή πινάκων/διαγραμμάτων για το κύριο σώμα του Word.</t>
  </si>
  <si>
    <t>Συμπυκνωμένος πίνακας μπαταρίας 5 kWh</t>
  </si>
  <si>
    <t>Οι τιμές του πίνακα τραβούν με τύπους από το φύλλο 'λ_Απόδ_Μπαταρία_5'. Το φύλλο χρησιμοποιείται ως πηγή πινάκων/διαγραμμάτων για το κύριο σώμα του Word.</t>
  </si>
  <si>
    <t>Συμπυκνωμένος πίνακας μπαταρίας 7,5 kWh</t>
  </si>
  <si>
    <t>Οι τιμές του πίνακα τραβούν με τύπους από το φύλλο 'μ_Απόδ_Μπαταρία_7_5'. Το φύλλο χρησιμοποιείται ως πηγή πινάκων/διαγραμμάτων για το κύριο σώμα του Word.</t>
  </si>
  <si>
    <t>Συμπυκνωμένος πίνακας μπαταρίας 10 kWh</t>
  </si>
  <si>
    <t>Οι τιμές του πίνακα τραβούν με τύπους από το φύλλο 'ν_Απόδ_Μπαταρία_10'. Το φύλλο χρησιμοποιείται ως πηγή πινάκων/διαγραμμάτων για το κύριο σώμα του Word.</t>
  </si>
  <si>
    <t>Παράγοντας</t>
  </si>
  <si>
    <t>Συντελεστής DPP</t>
  </si>
  <si>
    <t>Αποζημίωση kWh</t>
  </si>
  <si>
    <t>Συγκεντρωτικά αποτελέσματα σεναρίων ΧΡΗΣΗΣ ΜΠΑΤΑΡΙΑΣ</t>
  </si>
  <si>
    <t>Α. INPUT ΣΕΝΑΡΙΩΝ</t>
  </si>
  <si>
    <t>Β. ΥΠΟΛΟΓΙΣΜΟΙ ΣΕΝΑΡΙΩΝ</t>
  </si>
  <si>
    <t>Γ. ΥΠΟΛΟΓΙΣΜΟΙ ΣΕΝΑΡΙΩΝ</t>
  </si>
  <si>
    <t>Δ. ΔΙΑΓΡΑΜΜΑΤΑ  ΣΕΝΑΡΙΩΝ</t>
  </si>
  <si>
    <t>ΔΕ-ΜΑΑ-2026</t>
  </si>
  <si>
    <t>Υπολογιστικό μοντέλο τεχνικοοικονομικής αξιολόγησης φωτοβολταϊκού συστήματος αυτοκατανάλωσης σε καθεστώς net billing</t>
  </si>
  <si>
    <t>Συνοδευτικό αρχείο μεταπτυχιακής διπλωματικής εργασίας — ΕΑΠ, ΠΜΣ Διαχείριση Τεχνικών Έργων (ΔΧΤ)</t>
  </si>
  <si>
    <t>Πώς χρησιμοποιείται</t>
  </si>
  <si>
    <t>1. Πατήστε «Εισαγωγή δεδομένων» και συμπληρώστε τις παραμέτρους της εγκατάστασης στις τέσσερις καρτέλες.</t>
  </si>
  <si>
    <t>2. Με την εφαρμογή, το βιβλίο επανυπολογίζεται και τα φύλλα αποτελεσμάτων ενημερώνονται.</t>
  </si>
  <si>
    <t>3. Τα φύλλα αποτελεσμάτων είναι κλειδωμένα έναντι μεταβολών. Κάθε αλλαγή δεδομένων γίνεται από τη φόρμα.</t>
  </si>
  <si>
    <t>Το αρχείο περιέχει μακροεντολές. Αν το Excel εμφανίσει προειδοποίηση ασφαλείας, επιλέξτε «Ενεργοποίηση περιεχομένου».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</si>
</sst>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164" formatCode="0.0%"/>
    <numFmt numFmtId="165" formatCode="#,##0\ &quot;€&quot;"/>
    <numFmt numFmtId="166" formatCode="#,##0.00\ &quot;€&quot;"/>
    <numFmt numFmtId="167" formatCode="0.0000%"/>
    <numFmt numFmtId="168" formatCode="#,##0.000"/>
    <numFmt numFmtId="169" formatCode="#,##0.00\ \€"/>
    <numFmt numFmtId="170" formatCode="0.000%"/>
    <numFmt numFmtId="171" formatCode="#\ ##0.00\ \€"/>
  </numFmts>
  <fonts count="50" x14ac:knownFonts="1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sz val="10"/>
      <name val="Arial"/>
      <family val="2"/>
      <charset val="161"/>
    </font>
    <font>
      <sz val="11"/>
      <color rgb="FF9C0006"/>
      <name val="Calibri"/>
      <family val="2"/>
      <charset val="161"/>
      <scheme val="minor"/>
    </font>
    <font>
      <b/>
      <sz val="11"/>
      <color rgb="FFFFFFFF"/>
      <name val="Calibri"/>
      <family val="2"/>
      <charset val="161"/>
      <scheme val="minor"/>
    </font>
    <font>
      <b/>
      <sz val="10"/>
      <color rgb="FF1F1F1F"/>
      <name val="Arial"/>
      <family val="2"/>
      <charset val="161"/>
    </font>
    <font>
      <sz val="10"/>
      <color rgb="FF1F1F1F"/>
      <name val="Arial"/>
      <family val="2"/>
      <charset val="161"/>
    </font>
    <font>
      <i/>
      <sz val="10"/>
      <color rgb="FF1F1F1F"/>
      <name val="Arial"/>
      <family val="2"/>
      <charset val="161"/>
    </font>
    <font>
      <b/>
      <sz val="10"/>
      <name val="Arial"/>
      <family val="2"/>
      <charset val="161"/>
    </font>
    <font>
      <b/>
      <sz val="10"/>
      <color rgb="FFFFFFFF"/>
      <name val="Arial"/>
      <family val="2"/>
      <charset val="161"/>
    </font>
    <font>
      <sz val="10"/>
      <color theme="1"/>
      <name val="Arial"/>
      <family val="2"/>
      <charset val="161"/>
    </font>
    <font>
      <b/>
      <sz val="10"/>
      <color rgb="FF000000"/>
      <name val="Arial"/>
      <family val="2"/>
      <charset val="161"/>
    </font>
    <font>
      <b/>
      <sz val="10"/>
      <color theme="1"/>
      <name val="Arial"/>
      <family val="2"/>
      <charset val="161"/>
    </font>
    <font>
      <b/>
      <sz val="10"/>
      <color rgb="FF0000FF"/>
      <name val="Arial"/>
      <family val="2"/>
      <charset val="161"/>
    </font>
    <font>
      <b/>
      <sz val="10"/>
      <color rgb="FF1F4E79"/>
      <name val="Arial"/>
      <family val="2"/>
      <charset val="161"/>
    </font>
    <font>
      <b/>
      <sz val="10"/>
      <color rgb="FF006100"/>
      <name val="Arial"/>
      <family val="2"/>
      <charset val="161"/>
    </font>
    <font>
      <sz val="10"/>
      <color rgb="FF000000"/>
      <name val="Arial"/>
      <family val="2"/>
      <charset val="161"/>
    </font>
    <font>
      <i/>
      <sz val="10"/>
      <name val="Arial"/>
      <family val="2"/>
      <charset val="161"/>
    </font>
    <font>
      <i/>
      <sz val="10"/>
      <color theme="1"/>
      <name val="Arial"/>
      <family val="2"/>
      <charset val="161"/>
    </font>
    <font>
      <b/>
      <sz val="10"/>
      <color theme="0"/>
      <name val="Arial"/>
      <family val="2"/>
      <charset val="161"/>
    </font>
    <font>
      <b/>
      <sz val="10"/>
      <color rgb="FF3F3F76"/>
      <name val="Arial"/>
      <family val="2"/>
      <charset val="161"/>
    </font>
    <font>
      <b/>
      <sz val="10"/>
      <color theme="3"/>
      <name val="Arial"/>
      <family val="2"/>
      <charset val="161"/>
    </font>
    <font>
      <b/>
      <sz val="10"/>
      <color rgb="FFFF0000"/>
      <name val="Arial"/>
      <family val="2"/>
      <charset val="161"/>
    </font>
    <font>
      <sz val="10"/>
      <color theme="3"/>
      <name val="Arial"/>
      <family val="2"/>
      <charset val="161"/>
    </font>
    <font>
      <sz val="10"/>
      <color theme="0"/>
      <name val="Arial"/>
      <family val="2"/>
      <charset val="161"/>
    </font>
    <font>
      <b/>
      <sz val="10"/>
      <color rgb="FF00B0F0"/>
      <name val="Arial"/>
      <family val="2"/>
      <charset val="161"/>
    </font>
    <font>
      <sz val="10"/>
      <color rgb="FFFF0000"/>
      <name val="Arial"/>
      <family val="2"/>
      <charset val="161"/>
    </font>
    <font>
      <b/>
      <sz val="10"/>
      <color theme="4"/>
      <name val="Arial"/>
      <family val="2"/>
      <charset val="161"/>
    </font>
    <font>
      <b/>
      <sz val="10"/>
      <color theme="9"/>
      <name val="Arial"/>
      <family val="2"/>
      <charset val="161"/>
    </font>
    <font>
      <sz val="10"/>
      <color theme="4"/>
      <name val="Arial"/>
      <family val="2"/>
      <charset val="161"/>
    </font>
    <font>
      <b/>
      <sz val="10"/>
      <color theme="9" tint="-0.249977111117893"/>
      <name val="Arial"/>
      <family val="2"/>
      <charset val="161"/>
    </font>
    <font>
      <b/>
      <sz val="10"/>
      <color rgb="FFFA7D00"/>
      <name val="Arial"/>
      <family val="2"/>
      <charset val="161"/>
    </font>
    <font>
      <b/>
      <sz val="10"/>
      <color rgb="FF9C0006"/>
      <name val="Arial"/>
      <family val="2"/>
      <charset val="161"/>
    </font>
    <font>
      <b/>
      <sz val="11"/>
      <color theme="1"/>
      <name val="Arial"/>
      <family val="2"/>
      <charset val="161"/>
    </font>
    <font>
      <sz val="11"/>
      <color theme="1"/>
      <name val="Arial"/>
      <family val="2"/>
      <charset val="161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name val="Arial"/>
      <family val="2"/>
      <charset val="161"/>
    </font>
    <font>
      <b/>
      <sz val="14"/>
      <name val="Arial"/>
      <family val="2"/>
      <charset val="161"/>
    </font>
    <font>
      <sz val="11"/>
      <name val="Arial"/>
      <family val="2"/>
      <charset val="161"/>
    </font>
    <font>
      <b/>
      <sz val="14"/>
      <color theme="1"/>
      <name val="Arial"/>
      <family val="2"/>
      <charset val="161"/>
    </font>
    <font>
      <b/>
      <sz val="22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/>
        <bgColor indexed="64"/>
      </patternFill>
    </fill>
    <fill>
      <patternFill patternType="solid">
        <fgColor rgb="FFF2F2F2"/>
      </patternFill>
    </fill>
    <fill>
      <patternFill patternType="solid">
        <fgColor rgb="FF00B0F0"/>
        <bgColor indexed="64"/>
      </patternFill>
    </fill>
    <fill>
      <patternFill patternType="solid">
        <fgColor rgb="FF70AD47"/>
      </patternFill>
    </fill>
    <fill>
      <patternFill patternType="solid">
        <fgColor rgb="FF00B0F0"/>
      </patternFill>
    </fill>
    <fill>
      <patternFill patternType="solid">
        <fgColor rgb="FFE2F0D9"/>
      </patternFill>
    </fill>
    <fill>
      <patternFill patternType="solid">
        <fgColor rgb="FF1F4E7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1F4E79"/>
      </patternFill>
    </fill>
    <fill>
      <patternFill patternType="solid">
        <fgColor rgb="FFDDEBF7"/>
      </patternFill>
    </fill>
    <fill>
      <patternFill patternType="solid">
        <fgColor rgb="FFE2EFDA"/>
      </patternFill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D9EAF7"/>
      </patternFill>
    </fill>
    <fill>
      <patternFill patternType="solid">
        <fgColor rgb="FFFFFF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</fills>
  <borders count="3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/>
      <right/>
      <top style="thin">
        <color rgb="FFB7B7B7"/>
      </top>
      <bottom style="thin">
        <color rgb="FFB7B7B7"/>
      </bottom>
      <diagonal/>
    </border>
    <border>
      <left/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rgb="FFD9DEE7"/>
      </left>
      <right style="thin">
        <color rgb="FFD9DEE7"/>
      </right>
      <top style="thin">
        <color rgb="FFD9DEE7"/>
      </top>
      <bottom style="thin">
        <color rgb="FFD9DEE7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3" fillId="20" borderId="1"/>
    <xf numFmtId="0" fontId="2" fillId="5" borderId="0"/>
    <xf numFmtId="0" fontId="5" fillId="6" borderId="0"/>
    <xf numFmtId="0" fontId="6" fillId="7" borderId="1"/>
    <xf numFmtId="0" fontId="4" fillId="8" borderId="0"/>
    <xf numFmtId="0" fontId="4" fillId="9" borderId="0"/>
    <xf numFmtId="0" fontId="7" fillId="0" borderId="0"/>
    <xf numFmtId="0" fontId="8" fillId="14" borderId="0"/>
  </cellStyleXfs>
  <cellXfs count="300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5" fillId="0" borderId="0" xfId="0" applyFont="1" applyAlignment="1">
      <alignment vertical="center" wrapText="1"/>
    </xf>
    <xf numFmtId="2" fontId="15" fillId="0" borderId="0" xfId="0" applyNumberFormat="1" applyFont="1" applyAlignment="1">
      <alignment vertical="center" wrapText="1"/>
    </xf>
    <xf numFmtId="0" fontId="14" fillId="25" borderId="22" xfId="0" applyFont="1" applyFill="1" applyBorder="1" applyAlignment="1">
      <alignment horizontal="center" vertical="center" wrapText="1"/>
    </xf>
    <xf numFmtId="10" fontId="18" fillId="26" borderId="22" xfId="0" applyNumberFormat="1" applyFont="1" applyFill="1" applyBorder="1" applyAlignment="1">
      <alignment horizontal="center" vertical="center" wrapText="1"/>
    </xf>
    <xf numFmtId="0" fontId="19" fillId="27" borderId="22" xfId="0" applyFont="1" applyFill="1" applyBorder="1" applyAlignment="1">
      <alignment horizontal="center" vertical="center" wrapText="1"/>
    </xf>
    <xf numFmtId="169" fontId="20" fillId="28" borderId="2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3" fillId="23" borderId="21" xfId="0" applyFont="1" applyFill="1" applyBorder="1" applyAlignment="1">
      <alignment horizontal="center" vertical="center" wrapText="1"/>
    </xf>
    <xf numFmtId="0" fontId="13" fillId="23" borderId="0" xfId="0" applyFont="1" applyFill="1" applyAlignment="1">
      <alignment horizontal="center" vertical="center" wrapText="1"/>
    </xf>
    <xf numFmtId="0" fontId="13" fillId="23" borderId="23" xfId="0" applyFont="1" applyFill="1" applyBorder="1" applyAlignment="1">
      <alignment horizontal="center" vertical="center" wrapText="1"/>
    </xf>
    <xf numFmtId="0" fontId="7" fillId="24" borderId="21" xfId="0" applyFont="1" applyFill="1" applyBorder="1" applyAlignment="1">
      <alignment vertical="center" wrapText="1"/>
    </xf>
    <xf numFmtId="4" fontId="7" fillId="0" borderId="21" xfId="0" applyNumberFormat="1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10" fontId="7" fillId="0" borderId="21" xfId="0" applyNumberFormat="1" applyFont="1" applyBorder="1" applyAlignment="1">
      <alignment vertical="center" wrapText="1"/>
    </xf>
    <xf numFmtId="2" fontId="7" fillId="0" borderId="21" xfId="0" applyNumberFormat="1" applyFont="1" applyBorder="1" applyAlignment="1">
      <alignment vertical="center" wrapText="1"/>
    </xf>
    <xf numFmtId="0" fontId="21" fillId="33" borderId="28" xfId="0" applyFont="1" applyFill="1" applyBorder="1" applyAlignment="1">
      <alignment vertical="center" wrapText="1"/>
    </xf>
    <xf numFmtId="2" fontId="21" fillId="33" borderId="28" xfId="0" applyNumberFormat="1" applyFont="1" applyFill="1" applyBorder="1" applyAlignment="1">
      <alignment vertical="center" wrapText="1"/>
    </xf>
    <xf numFmtId="0" fontId="13" fillId="31" borderId="25" xfId="0" applyFont="1" applyFill="1" applyBorder="1" applyAlignment="1">
      <alignment horizontal="center" vertical="center" wrapText="1"/>
    </xf>
    <xf numFmtId="2" fontId="13" fillId="31" borderId="25" xfId="0" applyNumberFormat="1" applyFont="1" applyFill="1" applyBorder="1" applyAlignment="1">
      <alignment horizontal="center" vertical="center" wrapText="1"/>
    </xf>
    <xf numFmtId="0" fontId="14" fillId="29" borderId="25" xfId="0" applyFont="1" applyFill="1" applyBorder="1" applyAlignment="1">
      <alignment horizontal="center" vertical="center" wrapText="1"/>
    </xf>
    <xf numFmtId="0" fontId="15" fillId="32" borderId="25" xfId="0" applyFont="1" applyFill="1" applyBorder="1" applyAlignment="1">
      <alignment horizontal="right" vertical="center" wrapText="1"/>
    </xf>
    <xf numFmtId="171" fontId="15" fillId="32" borderId="25" xfId="0" applyNumberFormat="1" applyFont="1" applyFill="1" applyBorder="1" applyAlignment="1">
      <alignment horizontal="right" vertical="center" wrapText="1"/>
    </xf>
    <xf numFmtId="0" fontId="13" fillId="30" borderId="25" xfId="0" applyFont="1" applyFill="1" applyBorder="1" applyAlignment="1">
      <alignment horizontal="center" vertical="center" wrapText="1"/>
    </xf>
    <xf numFmtId="0" fontId="15" fillId="32" borderId="25" xfId="0" applyFont="1" applyFill="1" applyBorder="1" applyAlignment="1">
      <alignment horizontal="center" vertical="center" wrapText="1"/>
    </xf>
    <xf numFmtId="4" fontId="15" fillId="32" borderId="25" xfId="0" applyNumberFormat="1" applyFont="1" applyFill="1" applyBorder="1" applyAlignment="1">
      <alignment horizontal="center" vertical="center" wrapText="1"/>
    </xf>
    <xf numFmtId="171" fontId="15" fillId="32" borderId="25" xfId="0" applyNumberFormat="1" applyFont="1" applyFill="1" applyBorder="1" applyAlignment="1">
      <alignment horizontal="center" vertical="center" wrapText="1"/>
    </xf>
    <xf numFmtId="2" fontId="15" fillId="32" borderId="25" xfId="0" applyNumberFormat="1" applyFont="1" applyFill="1" applyBorder="1" applyAlignment="1">
      <alignment horizontal="center" vertical="center" wrapText="1"/>
    </xf>
    <xf numFmtId="171" fontId="13" fillId="30" borderId="25" xfId="0" applyNumberFormat="1" applyFont="1" applyFill="1" applyBorder="1" applyAlignment="1">
      <alignment horizontal="center" vertical="center" wrapText="1"/>
    </xf>
    <xf numFmtId="2" fontId="13" fillId="30" borderId="25" xfId="0" applyNumberFormat="1" applyFont="1" applyFill="1" applyBorder="1" applyAlignment="1">
      <alignment horizontal="center" vertical="center" wrapText="1"/>
    </xf>
    <xf numFmtId="1" fontId="13" fillId="30" borderId="25" xfId="0" applyNumberFormat="1" applyFont="1" applyFill="1" applyBorder="1" applyAlignment="1">
      <alignment horizontal="center" vertical="center" wrapText="1"/>
    </xf>
    <xf numFmtId="2" fontId="15" fillId="32" borderId="25" xfId="0" applyNumberFormat="1" applyFont="1" applyFill="1" applyBorder="1" applyAlignment="1">
      <alignment horizontal="right" vertical="center" wrapText="1"/>
    </xf>
    <xf numFmtId="1" fontId="15" fillId="32" borderId="25" xfId="0" applyNumberFormat="1" applyFont="1" applyFill="1" applyBorder="1" applyAlignment="1">
      <alignment horizontal="right" vertical="center" wrapText="1"/>
    </xf>
    <xf numFmtId="4" fontId="15" fillId="32" borderId="25" xfId="0" applyNumberFormat="1" applyFont="1" applyFill="1" applyBorder="1" applyAlignment="1">
      <alignment horizontal="right" vertical="center" wrapText="1"/>
    </xf>
    <xf numFmtId="171" fontId="15" fillId="0" borderId="0" xfId="0" applyNumberFormat="1" applyFont="1" applyAlignment="1">
      <alignment vertical="center" wrapText="1"/>
    </xf>
    <xf numFmtId="1" fontId="15" fillId="0" borderId="0" xfId="0" applyNumberFormat="1" applyFont="1" applyAlignment="1">
      <alignment vertical="center" wrapText="1"/>
    </xf>
    <xf numFmtId="0" fontId="17" fillId="36" borderId="31" xfId="0" applyFont="1" applyFill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4" fontId="15" fillId="0" borderId="31" xfId="0" applyNumberFormat="1" applyFont="1" applyBorder="1" applyAlignment="1">
      <alignment vertical="center" wrapText="1"/>
    </xf>
    <xf numFmtId="166" fontId="15" fillId="0" borderId="31" xfId="0" applyNumberFormat="1" applyFont="1" applyBorder="1" applyAlignment="1">
      <alignment vertical="center" wrapText="1"/>
    </xf>
    <xf numFmtId="10" fontId="15" fillId="0" borderId="31" xfId="0" applyNumberFormat="1" applyFont="1" applyBorder="1" applyAlignment="1">
      <alignment vertical="center" wrapText="1"/>
    </xf>
    <xf numFmtId="2" fontId="15" fillId="0" borderId="31" xfId="0" applyNumberFormat="1" applyFont="1" applyBorder="1" applyAlignment="1">
      <alignment vertical="center" wrapText="1"/>
    </xf>
    <xf numFmtId="0" fontId="17" fillId="0" borderId="31" xfId="0" applyFont="1" applyBorder="1" applyAlignment="1">
      <alignment vertical="center" wrapText="1"/>
    </xf>
    <xf numFmtId="4" fontId="17" fillId="0" borderId="31" xfId="0" applyNumberFormat="1" applyFont="1" applyBorder="1" applyAlignment="1">
      <alignment vertical="center" wrapText="1"/>
    </xf>
    <xf numFmtId="166" fontId="17" fillId="0" borderId="31" xfId="0" applyNumberFormat="1" applyFont="1" applyBorder="1" applyAlignment="1">
      <alignment vertical="center" wrapText="1"/>
    </xf>
    <xf numFmtId="4" fontId="21" fillId="33" borderId="24" xfId="0" applyNumberFormat="1" applyFont="1" applyFill="1" applyBorder="1" applyAlignment="1">
      <alignment vertical="center" wrapText="1"/>
    </xf>
    <xf numFmtId="169" fontId="21" fillId="33" borderId="24" xfId="0" applyNumberFormat="1" applyFont="1" applyFill="1" applyBorder="1" applyAlignment="1">
      <alignment vertical="center" wrapText="1"/>
    </xf>
    <xf numFmtId="10" fontId="21" fillId="33" borderId="24" xfId="0" applyNumberFormat="1" applyFont="1" applyFill="1" applyBorder="1" applyAlignment="1">
      <alignment vertical="center" wrapText="1"/>
    </xf>
    <xf numFmtId="2" fontId="21" fillId="33" borderId="24" xfId="0" applyNumberFormat="1" applyFont="1" applyFill="1" applyBorder="1" applyAlignment="1">
      <alignment vertical="center" wrapText="1"/>
    </xf>
    <xf numFmtId="10" fontId="15" fillId="0" borderId="0" xfId="0" applyNumberFormat="1" applyFont="1" applyAlignment="1">
      <alignment vertical="center" wrapText="1"/>
    </xf>
    <xf numFmtId="4" fontId="15" fillId="0" borderId="0" xfId="0" applyNumberFormat="1" applyFont="1" applyAlignment="1">
      <alignment vertical="center" wrapText="1"/>
    </xf>
    <xf numFmtId="0" fontId="17" fillId="21" borderId="24" xfId="0" applyFont="1" applyFill="1" applyBorder="1" applyAlignment="1">
      <alignment horizontal="center" vertical="center" wrapText="1"/>
    </xf>
    <xf numFmtId="0" fontId="17" fillId="35" borderId="24" xfId="0" applyFont="1" applyFill="1" applyBorder="1" applyAlignment="1">
      <alignment horizontal="center" vertical="center" wrapText="1"/>
    </xf>
    <xf numFmtId="10" fontId="15" fillId="35" borderId="24" xfId="0" applyNumberFormat="1" applyFont="1" applyFill="1" applyBorder="1" applyAlignment="1">
      <alignment horizontal="center" vertical="center" wrapText="1"/>
    </xf>
    <xf numFmtId="2" fontId="15" fillId="33" borderId="24" xfId="0" applyNumberFormat="1" applyFont="1" applyFill="1" applyBorder="1" applyAlignment="1">
      <alignment horizontal="center" vertical="center" wrapText="1"/>
    </xf>
    <xf numFmtId="9" fontId="15" fillId="0" borderId="0" xfId="0" applyNumberFormat="1" applyFont="1" applyAlignment="1">
      <alignment vertical="center" wrapText="1"/>
    </xf>
    <xf numFmtId="10" fontId="15" fillId="35" borderId="0" xfId="0" applyNumberFormat="1" applyFont="1" applyFill="1" applyAlignment="1">
      <alignment vertical="center" wrapText="1"/>
    </xf>
    <xf numFmtId="169" fontId="15" fillId="0" borderId="0" xfId="0" applyNumberFormat="1" applyFont="1" applyAlignment="1">
      <alignment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29" fillId="3" borderId="2" xfId="0" applyFont="1" applyFill="1" applyBorder="1" applyAlignment="1">
      <alignment horizontal="center" vertical="center" wrapText="1"/>
    </xf>
    <xf numFmtId="0" fontId="26" fillId="10" borderId="2" xfId="0" applyFont="1" applyFill="1" applyBorder="1" applyAlignment="1">
      <alignment horizontal="center" vertical="center" wrapText="1"/>
    </xf>
    <xf numFmtId="0" fontId="24" fillId="18" borderId="2" xfId="0" applyFont="1" applyFill="1" applyBorder="1" applyAlignment="1">
      <alignment horizontal="center" vertical="center" wrapText="1"/>
    </xf>
    <xf numFmtId="0" fontId="24" fillId="18" borderId="0" xfId="0" applyFont="1" applyFill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4" fontId="30" fillId="10" borderId="2" xfId="0" applyNumberFormat="1" applyFont="1" applyFill="1" applyBorder="1" applyAlignment="1">
      <alignment horizontal="right" vertical="center" wrapText="1"/>
    </xf>
    <xf numFmtId="0" fontId="26" fillId="11" borderId="2" xfId="0" applyFont="1" applyFill="1" applyBorder="1" applyAlignment="1">
      <alignment horizontal="left" vertical="center" wrapText="1"/>
    </xf>
    <xf numFmtId="2" fontId="27" fillId="12" borderId="2" xfId="0" applyNumberFormat="1" applyFont="1" applyFill="1" applyBorder="1" applyAlignment="1">
      <alignment horizontal="center" vertical="center" wrapText="1"/>
    </xf>
    <xf numFmtId="0" fontId="27" fillId="12" borderId="2" xfId="0" applyFont="1" applyFill="1" applyBorder="1" applyAlignment="1">
      <alignment horizontal="center" vertical="center" wrapText="1"/>
    </xf>
    <xf numFmtId="4" fontId="27" fillId="12" borderId="2" xfId="0" applyNumberFormat="1" applyFont="1" applyFill="1" applyBorder="1" applyAlignment="1">
      <alignment horizontal="center" vertical="center" wrapText="1"/>
    </xf>
    <xf numFmtId="3" fontId="27" fillId="12" borderId="2" xfId="0" applyNumberFormat="1" applyFont="1" applyFill="1" applyBorder="1" applyAlignment="1">
      <alignment horizontal="center" vertical="center" wrapText="1"/>
    </xf>
    <xf numFmtId="169" fontId="27" fillId="12" borderId="2" xfId="0" applyNumberFormat="1" applyFont="1" applyFill="1" applyBorder="1" applyAlignment="1">
      <alignment horizontal="center" vertical="center" wrapText="1"/>
    </xf>
    <xf numFmtId="0" fontId="28" fillId="10" borderId="2" xfId="0" applyFont="1" applyFill="1" applyBorder="1" applyAlignment="1">
      <alignment horizontal="center" vertical="center" wrapText="1"/>
    </xf>
    <xf numFmtId="0" fontId="29" fillId="19" borderId="2" xfId="0" applyFont="1" applyFill="1" applyBorder="1" applyAlignment="1">
      <alignment horizontal="center" vertical="center" wrapText="1"/>
    </xf>
    <xf numFmtId="4" fontId="31" fillId="17" borderId="2" xfId="0" applyNumberFormat="1" applyFont="1" applyFill="1" applyBorder="1" applyAlignment="1">
      <alignment horizontal="center" vertical="center" wrapText="1"/>
    </xf>
    <xf numFmtId="9" fontId="31" fillId="17" borderId="2" xfId="0" applyNumberFormat="1" applyFont="1" applyFill="1" applyBorder="1" applyAlignment="1">
      <alignment horizontal="center" vertical="center" wrapText="1"/>
    </xf>
    <xf numFmtId="4" fontId="15" fillId="13" borderId="2" xfId="0" applyNumberFormat="1" applyFont="1" applyFill="1" applyBorder="1" applyAlignment="1">
      <alignment horizontal="center" vertical="center" wrapText="1"/>
    </xf>
    <xf numFmtId="0" fontId="28" fillId="13" borderId="2" xfId="0" applyFont="1" applyFill="1" applyBorder="1" applyAlignment="1">
      <alignment horizontal="left" vertical="center" wrapText="1"/>
    </xf>
    <xf numFmtId="4" fontId="32" fillId="13" borderId="2" xfId="0" applyNumberFormat="1" applyFont="1" applyFill="1" applyBorder="1" applyAlignment="1">
      <alignment horizontal="center" vertical="center" wrapText="1"/>
    </xf>
    <xf numFmtId="4" fontId="32" fillId="13" borderId="2" xfId="0" applyNumberFormat="1" applyFont="1" applyFill="1" applyBorder="1" applyAlignment="1">
      <alignment horizontal="right" vertical="center" wrapText="1"/>
    </xf>
    <xf numFmtId="4" fontId="32" fillId="17" borderId="2" xfId="0" applyNumberFormat="1" applyFont="1" applyFill="1" applyBorder="1" applyAlignment="1">
      <alignment horizontal="right" vertical="center" wrapText="1"/>
    </xf>
    <xf numFmtId="9" fontId="32" fillId="17" borderId="2" xfId="0" applyNumberFormat="1" applyFont="1" applyFill="1" applyBorder="1" applyAlignment="1">
      <alignment horizontal="right" vertical="center" wrapText="1"/>
    </xf>
    <xf numFmtId="169" fontId="32" fillId="13" borderId="2" xfId="0" applyNumberFormat="1" applyFont="1" applyFill="1" applyBorder="1" applyAlignment="1">
      <alignment horizontal="center" vertical="center" wrapText="1"/>
    </xf>
    <xf numFmtId="169" fontId="32" fillId="17" borderId="2" xfId="0" applyNumberFormat="1" applyFont="1" applyFill="1" applyBorder="1" applyAlignment="1">
      <alignment horizontal="right" vertical="center" wrapText="1"/>
    </xf>
    <xf numFmtId="10" fontId="32" fillId="17" borderId="2" xfId="0" applyNumberFormat="1" applyFont="1" applyFill="1" applyBorder="1" applyAlignment="1">
      <alignment horizontal="right" vertical="center" wrapText="1"/>
    </xf>
    <xf numFmtId="2" fontId="32" fillId="17" borderId="2" xfId="0" applyNumberFormat="1" applyFont="1" applyFill="1" applyBorder="1" applyAlignment="1">
      <alignment horizontal="right" vertical="center" wrapText="1"/>
    </xf>
    <xf numFmtId="0" fontId="27" fillId="12" borderId="2" xfId="0" applyFont="1" applyFill="1" applyBorder="1" applyAlignment="1">
      <alignment horizontal="right" vertical="center" wrapText="1"/>
    </xf>
    <xf numFmtId="4" fontId="27" fillId="12" borderId="2" xfId="0" applyNumberFormat="1" applyFont="1" applyFill="1" applyBorder="1" applyAlignment="1">
      <alignment horizontal="right" vertical="center" wrapText="1"/>
    </xf>
    <xf numFmtId="169" fontId="27" fillId="12" borderId="2" xfId="0" applyNumberFormat="1" applyFont="1" applyFill="1" applyBorder="1" applyAlignment="1">
      <alignment horizontal="right" vertical="center" wrapText="1"/>
    </xf>
    <xf numFmtId="0" fontId="33" fillId="12" borderId="6" xfId="0" applyFont="1" applyFill="1" applyBorder="1" applyAlignment="1">
      <alignment horizontal="center" vertical="center" wrapText="1"/>
    </xf>
    <xf numFmtId="3" fontId="34" fillId="12" borderId="2" xfId="0" quotePrefix="1" applyNumberFormat="1" applyFont="1" applyFill="1" applyBorder="1" applyAlignment="1">
      <alignment horizontal="center" vertical="center" wrapText="1"/>
    </xf>
    <xf numFmtId="0" fontId="31" fillId="17" borderId="2" xfId="0" applyFont="1" applyFill="1" applyBorder="1" applyAlignment="1">
      <alignment horizontal="center" vertical="center" wrapText="1"/>
    </xf>
    <xf numFmtId="0" fontId="15" fillId="13" borderId="2" xfId="0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4" fontId="15" fillId="0" borderId="2" xfId="0" applyNumberFormat="1" applyFont="1" applyBorder="1" applyAlignment="1">
      <alignment vertical="center" wrapText="1"/>
    </xf>
    <xf numFmtId="0" fontId="29" fillId="8" borderId="8" xfId="5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29" fillId="8" borderId="7" xfId="5" applyFont="1" applyBorder="1" applyAlignment="1">
      <alignment horizontal="center" vertical="center" wrapText="1"/>
    </xf>
    <xf numFmtId="0" fontId="29" fillId="8" borderId="5" xfId="5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3" fontId="17" fillId="0" borderId="3" xfId="0" applyNumberFormat="1" applyFont="1" applyBorder="1" applyAlignment="1">
      <alignment horizontal="right" vertical="center" wrapText="1"/>
    </xf>
    <xf numFmtId="3" fontId="15" fillId="0" borderId="2" xfId="0" applyNumberFormat="1" applyFont="1" applyBorder="1" applyAlignment="1">
      <alignment horizontal="center" vertical="center" wrapText="1"/>
    </xf>
    <xf numFmtId="3" fontId="15" fillId="0" borderId="2" xfId="0" applyNumberFormat="1" applyFont="1" applyBorder="1" applyAlignment="1">
      <alignment horizontal="right" vertical="center" wrapText="1"/>
    </xf>
    <xf numFmtId="164" fontId="31" fillId="12" borderId="2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3" fontId="27" fillId="0" borderId="2" xfId="0" applyNumberFormat="1" applyFont="1" applyBorder="1" applyAlignment="1">
      <alignment horizontal="right" vertical="center" wrapText="1"/>
    </xf>
    <xf numFmtId="10" fontId="31" fillId="12" borderId="2" xfId="0" applyNumberFormat="1" applyFont="1" applyFill="1" applyBorder="1" applyAlignment="1">
      <alignment horizontal="center" vertical="center" wrapText="1"/>
    </xf>
    <xf numFmtId="3" fontId="35" fillId="0" borderId="2" xfId="0" applyNumberFormat="1" applyFont="1" applyBorder="1" applyAlignment="1">
      <alignment horizontal="right" vertical="center" wrapText="1"/>
    </xf>
    <xf numFmtId="0" fontId="15" fillId="0" borderId="6" xfId="0" applyFont="1" applyBorder="1" applyAlignment="1">
      <alignment horizontal="center" vertical="center" wrapText="1"/>
    </xf>
    <xf numFmtId="3" fontId="15" fillId="0" borderId="6" xfId="0" applyNumberFormat="1" applyFont="1" applyBorder="1" applyAlignment="1">
      <alignment horizontal="center" vertical="center" wrapText="1"/>
    </xf>
    <xf numFmtId="3" fontId="15" fillId="0" borderId="6" xfId="0" applyNumberFormat="1" applyFont="1" applyBorder="1" applyAlignment="1">
      <alignment horizontal="right" vertical="center" wrapText="1"/>
    </xf>
    <xf numFmtId="3" fontId="17" fillId="0" borderId="6" xfId="0" applyNumberFormat="1" applyFont="1" applyBorder="1" applyAlignment="1">
      <alignment horizontal="right" vertical="center" wrapText="1"/>
    </xf>
    <xf numFmtId="3" fontId="17" fillId="0" borderId="2" xfId="0" applyNumberFormat="1" applyFont="1" applyBorder="1" applyAlignment="1">
      <alignment horizontal="right" vertical="center" wrapText="1"/>
    </xf>
    <xf numFmtId="4" fontId="35" fillId="15" borderId="2" xfId="0" applyNumberFormat="1" applyFont="1" applyFill="1" applyBorder="1" applyAlignment="1">
      <alignment horizontal="right" vertical="center" wrapText="1"/>
    </xf>
    <xf numFmtId="10" fontId="35" fillId="15" borderId="2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29" fillId="8" borderId="2" xfId="5" applyFont="1" applyBorder="1" applyAlignment="1">
      <alignment vertical="center" wrapText="1"/>
    </xf>
    <xf numFmtId="165" fontId="15" fillId="0" borderId="0" xfId="0" applyNumberFormat="1" applyFont="1" applyAlignment="1">
      <alignment vertical="center" wrapText="1"/>
    </xf>
    <xf numFmtId="8" fontId="15" fillId="0" borderId="0" xfId="0" applyNumberFormat="1" applyFont="1" applyAlignment="1">
      <alignment vertical="center" wrapText="1"/>
    </xf>
    <xf numFmtId="3" fontId="15" fillId="0" borderId="0" xfId="0" applyNumberFormat="1" applyFont="1" applyAlignment="1">
      <alignment vertical="center" wrapText="1"/>
    </xf>
    <xf numFmtId="8" fontId="15" fillId="0" borderId="9" xfId="0" applyNumberFormat="1" applyFont="1" applyBorder="1" applyAlignment="1">
      <alignment vertical="center" wrapText="1"/>
    </xf>
    <xf numFmtId="166" fontId="15" fillId="0" borderId="0" xfId="0" applyNumberFormat="1" applyFont="1" applyAlignment="1">
      <alignment vertical="center" wrapText="1"/>
    </xf>
    <xf numFmtId="170" fontId="15" fillId="0" borderId="0" xfId="0" applyNumberFormat="1" applyFont="1" applyAlignment="1">
      <alignment vertical="center" wrapText="1"/>
    </xf>
    <xf numFmtId="167" fontId="15" fillId="0" borderId="0" xfId="0" applyNumberFormat="1" applyFont="1" applyAlignment="1">
      <alignment vertical="center" wrapText="1"/>
    </xf>
    <xf numFmtId="8" fontId="15" fillId="0" borderId="10" xfId="0" applyNumberFormat="1" applyFont="1" applyBorder="1" applyAlignment="1">
      <alignment vertical="center" wrapText="1"/>
    </xf>
    <xf numFmtId="0" fontId="15" fillId="11" borderId="0" xfId="0" applyFont="1" applyFill="1" applyAlignment="1">
      <alignment horizontal="center" vertical="center" wrapText="1"/>
    </xf>
    <xf numFmtId="0" fontId="15" fillId="17" borderId="2" xfId="0" applyFont="1" applyFill="1" applyBorder="1" applyAlignment="1">
      <alignment horizontal="left" vertical="center" wrapText="1"/>
    </xf>
    <xf numFmtId="0" fontId="15" fillId="15" borderId="6" xfId="0" applyFont="1" applyFill="1" applyBorder="1" applyAlignment="1">
      <alignment horizontal="left" vertical="center" wrapText="1"/>
    </xf>
    <xf numFmtId="0" fontId="15" fillId="15" borderId="2" xfId="0" applyFont="1" applyFill="1" applyBorder="1" applyAlignment="1">
      <alignment horizontal="left" vertical="center" wrapText="1"/>
    </xf>
    <xf numFmtId="0" fontId="15" fillId="10" borderId="2" xfId="0" applyFont="1" applyFill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11" borderId="13" xfId="0" applyFont="1" applyFill="1" applyBorder="1" applyAlignment="1">
      <alignment horizontal="center" vertical="center" wrapText="1"/>
    </xf>
    <xf numFmtId="0" fontId="15" fillId="11" borderId="14" xfId="0" applyFont="1" applyFill="1" applyBorder="1" applyAlignment="1">
      <alignment horizontal="center" vertical="center" wrapText="1"/>
    </xf>
    <xf numFmtId="4" fontId="15" fillId="0" borderId="19" xfId="0" applyNumberFormat="1" applyFont="1" applyBorder="1" applyAlignment="1">
      <alignment vertical="center" wrapText="1"/>
    </xf>
    <xf numFmtId="9" fontId="15" fillId="0" borderId="2" xfId="0" applyNumberFormat="1" applyFont="1" applyBorder="1" applyAlignment="1">
      <alignment vertical="center" wrapText="1"/>
    </xf>
    <xf numFmtId="9" fontId="31" fillId="0" borderId="2" xfId="0" applyNumberFormat="1" applyFont="1" applyBorder="1" applyAlignment="1">
      <alignment vertical="center" wrapText="1"/>
    </xf>
    <xf numFmtId="4" fontId="15" fillId="0" borderId="19" xfId="0" applyNumberFormat="1" applyFont="1" applyBorder="1" applyAlignment="1">
      <alignment horizontal="right" vertical="center" wrapText="1"/>
    </xf>
    <xf numFmtId="9" fontId="31" fillId="0" borderId="2" xfId="0" applyNumberFormat="1" applyFont="1" applyBorder="1" applyAlignment="1">
      <alignment horizontal="right" vertical="center" wrapText="1"/>
    </xf>
    <xf numFmtId="0" fontId="15" fillId="17" borderId="2" xfId="0" applyFont="1" applyFill="1" applyBorder="1" applyAlignment="1">
      <alignment vertical="center" wrapText="1"/>
    </xf>
    <xf numFmtId="0" fontId="15" fillId="17" borderId="2" xfId="0" applyFont="1" applyFill="1" applyBorder="1" applyAlignment="1">
      <alignment horizontal="center" vertical="center" wrapText="1"/>
    </xf>
    <xf numFmtId="4" fontId="15" fillId="17" borderId="3" xfId="0" applyNumberFormat="1" applyFont="1" applyFill="1" applyBorder="1" applyAlignment="1">
      <alignment horizontal="center" vertical="center" wrapText="1"/>
    </xf>
    <xf numFmtId="4" fontId="15" fillId="17" borderId="2" xfId="0" applyNumberFormat="1" applyFont="1" applyFill="1" applyBorder="1" applyAlignment="1">
      <alignment vertical="center" wrapText="1"/>
    </xf>
    <xf numFmtId="168" fontId="31" fillId="0" borderId="19" xfId="0" applyNumberFormat="1" applyFont="1" applyBorder="1" applyAlignment="1">
      <alignment vertical="center" wrapText="1"/>
    </xf>
    <xf numFmtId="4" fontId="15" fillId="10" borderId="2" xfId="0" applyNumberFormat="1" applyFont="1" applyFill="1" applyBorder="1" applyAlignment="1">
      <alignment vertical="center" wrapText="1"/>
    </xf>
    <xf numFmtId="4" fontId="31" fillId="0" borderId="2" xfId="0" applyNumberFormat="1" applyFont="1" applyBorder="1" applyAlignment="1">
      <alignment vertical="center" wrapText="1"/>
    </xf>
    <xf numFmtId="4" fontId="15" fillId="0" borderId="2" xfId="0" applyNumberFormat="1" applyFont="1" applyBorder="1" applyAlignment="1">
      <alignment horizontal="center" vertical="center" wrapText="1"/>
    </xf>
    <xf numFmtId="0" fontId="15" fillId="17" borderId="3" xfId="0" applyFont="1" applyFill="1" applyBorder="1" applyAlignment="1">
      <alignment horizontal="center" vertical="center" wrapText="1"/>
    </xf>
    <xf numFmtId="4" fontId="31" fillId="0" borderId="19" xfId="0" applyNumberFormat="1" applyFont="1" applyBorder="1" applyAlignment="1">
      <alignment vertical="center" wrapText="1"/>
    </xf>
    <xf numFmtId="0" fontId="15" fillId="15" borderId="6" xfId="0" applyFont="1" applyFill="1" applyBorder="1" applyAlignment="1">
      <alignment horizontal="center" vertical="center" wrapText="1"/>
    </xf>
    <xf numFmtId="0" fontId="15" fillId="15" borderId="18" xfId="0" applyFont="1" applyFill="1" applyBorder="1" applyAlignment="1">
      <alignment horizontal="center" vertical="center" wrapText="1"/>
    </xf>
    <xf numFmtId="4" fontId="15" fillId="0" borderId="10" xfId="0" applyNumberFormat="1" applyFont="1" applyBorder="1" applyAlignment="1">
      <alignment horizontal="right" vertical="center" wrapText="1"/>
    </xf>
    <xf numFmtId="9" fontId="31" fillId="0" borderId="6" xfId="0" applyNumberFormat="1" applyFont="1" applyBorder="1" applyAlignment="1">
      <alignment horizontal="right" vertical="center" wrapText="1"/>
    </xf>
    <xf numFmtId="4" fontId="15" fillId="0" borderId="6" xfId="0" applyNumberFormat="1" applyFont="1" applyBorder="1" applyAlignment="1">
      <alignment vertical="center" wrapText="1"/>
    </xf>
    <xf numFmtId="0" fontId="15" fillId="15" borderId="2" xfId="0" applyFont="1" applyFill="1" applyBorder="1" applyAlignment="1">
      <alignment vertical="center" wrapText="1"/>
    </xf>
    <xf numFmtId="0" fontId="15" fillId="15" borderId="2" xfId="0" applyFont="1" applyFill="1" applyBorder="1" applyAlignment="1">
      <alignment horizontal="center" vertical="center" wrapText="1"/>
    </xf>
    <xf numFmtId="0" fontId="15" fillId="15" borderId="3" xfId="0" applyFont="1" applyFill="1" applyBorder="1" applyAlignment="1">
      <alignment horizontal="center" vertical="center" wrapText="1"/>
    </xf>
    <xf numFmtId="0" fontId="15" fillId="10" borderId="2" xfId="0" applyFont="1" applyFill="1" applyBorder="1" applyAlignment="1">
      <alignment horizontal="center" vertical="center" wrapText="1"/>
    </xf>
    <xf numFmtId="0" fontId="15" fillId="10" borderId="3" xfId="0" applyFont="1" applyFill="1" applyBorder="1" applyAlignment="1">
      <alignment horizontal="center" vertical="center" wrapText="1"/>
    </xf>
    <xf numFmtId="4" fontId="15" fillId="10" borderId="2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right" vertical="center" wrapText="1"/>
    </xf>
    <xf numFmtId="4" fontId="15" fillId="0" borderId="2" xfId="0" applyNumberFormat="1" applyFont="1" applyBorder="1" applyAlignment="1">
      <alignment horizontal="right" vertical="center" wrapText="1"/>
    </xf>
    <xf numFmtId="9" fontId="15" fillId="0" borderId="2" xfId="0" applyNumberFormat="1" applyFont="1" applyBorder="1" applyAlignment="1">
      <alignment horizontal="right" vertical="center" wrapText="1"/>
    </xf>
    <xf numFmtId="4" fontId="36" fillId="4" borderId="19" xfId="1" applyNumberFormat="1" applyFont="1" applyFill="1" applyBorder="1" applyAlignment="1">
      <alignment horizontal="right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4" fontId="15" fillId="0" borderId="5" xfId="0" applyNumberFormat="1" applyFont="1" applyBorder="1" applyAlignment="1">
      <alignment horizontal="right" vertical="center" wrapText="1"/>
    </xf>
    <xf numFmtId="9" fontId="15" fillId="0" borderId="12" xfId="0" applyNumberFormat="1" applyFont="1" applyBorder="1" applyAlignment="1">
      <alignment horizontal="right" vertical="center" wrapText="1"/>
    </xf>
    <xf numFmtId="4" fontId="15" fillId="0" borderId="12" xfId="0" applyNumberFormat="1" applyFont="1" applyBorder="1" applyAlignment="1">
      <alignment horizontal="right" vertical="center" wrapText="1"/>
    </xf>
    <xf numFmtId="0" fontId="15" fillId="0" borderId="13" xfId="0" applyFont="1" applyBorder="1" applyAlignment="1">
      <alignment horizontal="center" vertical="center" wrapText="1"/>
    </xf>
    <xf numFmtId="4" fontId="15" fillId="0" borderId="0" xfId="0" applyNumberFormat="1" applyFont="1" applyAlignment="1">
      <alignment horizontal="right" vertical="center" wrapText="1"/>
    </xf>
    <xf numFmtId="9" fontId="15" fillId="0" borderId="0" xfId="0" applyNumberFormat="1" applyFont="1" applyAlignment="1">
      <alignment horizontal="right" vertical="center" wrapText="1"/>
    </xf>
    <xf numFmtId="4" fontId="15" fillId="0" borderId="14" xfId="0" applyNumberFormat="1" applyFont="1" applyBorder="1" applyAlignment="1">
      <alignment horizontal="right" vertical="center" wrapText="1"/>
    </xf>
    <xf numFmtId="0" fontId="15" fillId="0" borderId="13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11" borderId="13" xfId="0" applyFont="1" applyFill="1" applyBorder="1" applyAlignment="1">
      <alignment vertical="center" wrapText="1"/>
    </xf>
    <xf numFmtId="0" fontId="15" fillId="11" borderId="0" xfId="0" applyFont="1" applyFill="1" applyAlignment="1">
      <alignment vertical="center" wrapText="1"/>
    </xf>
    <xf numFmtId="4" fontId="25" fillId="11" borderId="11" xfId="4" applyNumberFormat="1" applyFont="1" applyFill="1" applyBorder="1" applyAlignment="1">
      <alignment vertical="center" wrapText="1"/>
    </xf>
    <xf numFmtId="4" fontId="27" fillId="0" borderId="14" xfId="0" applyNumberFormat="1" applyFont="1" applyBorder="1" applyAlignment="1">
      <alignment vertical="center" wrapText="1"/>
    </xf>
    <xf numFmtId="4" fontId="36" fillId="11" borderId="11" xfId="1" applyNumberFormat="1" applyFont="1" applyFill="1" applyBorder="1" applyAlignment="1">
      <alignment vertical="center" wrapText="1"/>
    </xf>
    <xf numFmtId="4" fontId="37" fillId="11" borderId="11" xfId="8" applyNumberFormat="1" applyFont="1" applyFill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10" fontId="15" fillId="11" borderId="0" xfId="0" applyNumberFormat="1" applyFont="1" applyFill="1" applyAlignment="1">
      <alignment vertical="center" wrapText="1"/>
    </xf>
    <xf numFmtId="0" fontId="15" fillId="11" borderId="15" xfId="0" applyFont="1" applyFill="1" applyBorder="1" applyAlignment="1">
      <alignment vertical="center" wrapText="1"/>
    </xf>
    <xf numFmtId="0" fontId="15" fillId="11" borderId="16" xfId="0" applyFont="1" applyFill="1" applyBorder="1" applyAlignment="1">
      <alignment vertical="center" wrapText="1"/>
    </xf>
    <xf numFmtId="4" fontId="20" fillId="11" borderId="17" xfId="3" applyNumberFormat="1" applyFont="1" applyFill="1" applyBorder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5" fillId="10" borderId="2" xfId="0" applyFont="1" applyFill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36" fillId="4" borderId="1" xfId="1" applyFont="1" applyFill="1" applyAlignment="1">
      <alignment horizontal="center" vertical="center" wrapText="1"/>
    </xf>
    <xf numFmtId="16" fontId="36" fillId="4" borderId="1" xfId="1" applyNumberFormat="1" applyFont="1" applyFill="1" applyAlignment="1">
      <alignment horizontal="center" vertical="center" wrapText="1"/>
    </xf>
    <xf numFmtId="0" fontId="15" fillId="5" borderId="20" xfId="2" applyFont="1" applyBorder="1" applyAlignment="1">
      <alignment vertical="center" wrapText="1"/>
    </xf>
    <xf numFmtId="0" fontId="36" fillId="4" borderId="1" xfId="1" applyFont="1" applyFill="1" applyAlignment="1">
      <alignment vertical="center" wrapText="1"/>
    </xf>
    <xf numFmtId="0" fontId="29" fillId="9" borderId="0" xfId="6" applyFont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0" fontId="24" fillId="16" borderId="0" xfId="0" applyFont="1" applyFill="1" applyAlignment="1">
      <alignment horizontal="center" vertical="center" wrapText="1"/>
    </xf>
    <xf numFmtId="4" fontId="24" fillId="16" borderId="0" xfId="0" applyNumberFormat="1" applyFont="1" applyFill="1" applyAlignment="1">
      <alignment horizontal="center" vertical="center" wrapText="1"/>
    </xf>
    <xf numFmtId="0" fontId="15" fillId="0" borderId="33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1" fillId="0" borderId="33" xfId="0" applyFont="1" applyBorder="1" applyAlignment="1">
      <alignment vertical="center" wrapText="1"/>
    </xf>
    <xf numFmtId="2" fontId="11" fillId="0" borderId="33" xfId="0" applyNumberFormat="1" applyFont="1" applyBorder="1" applyAlignment="1">
      <alignment vertical="center" wrapText="1"/>
    </xf>
    <xf numFmtId="169" fontId="11" fillId="0" borderId="33" xfId="0" applyNumberFormat="1" applyFont="1" applyBorder="1" applyAlignment="1">
      <alignment vertical="center" wrapText="1"/>
    </xf>
    <xf numFmtId="10" fontId="11" fillId="0" borderId="33" xfId="0" applyNumberFormat="1" applyFont="1" applyBorder="1" applyAlignment="1">
      <alignment vertical="center" wrapText="1"/>
    </xf>
    <xf numFmtId="0" fontId="16" fillId="0" borderId="33" xfId="0" applyFont="1" applyBorder="1" applyAlignment="1">
      <alignment vertical="center" wrapText="1"/>
    </xf>
    <xf numFmtId="0" fontId="10" fillId="0" borderId="33" xfId="0" applyFont="1" applyBorder="1" applyAlignment="1">
      <alignment horizontal="center" vertical="center" wrapText="1"/>
    </xf>
    <xf numFmtId="0" fontId="12" fillId="0" borderId="33" xfId="0" applyFont="1" applyBorder="1" applyAlignment="1">
      <alignment vertical="center" wrapText="1"/>
    </xf>
    <xf numFmtId="10" fontId="16" fillId="0" borderId="33" xfId="0" applyNumberFormat="1" applyFont="1" applyBorder="1" applyAlignment="1">
      <alignment vertical="center" wrapText="1"/>
    </xf>
    <xf numFmtId="0" fontId="14" fillId="25" borderId="33" xfId="0" applyFont="1" applyFill="1" applyBorder="1" applyAlignment="1">
      <alignment vertical="center" wrapText="1"/>
    </xf>
    <xf numFmtId="0" fontId="9" fillId="25" borderId="0" xfId="0" applyFont="1" applyFill="1"/>
    <xf numFmtId="169" fontId="10" fillId="0" borderId="33" xfId="0" applyNumberFormat="1" applyFont="1" applyBorder="1" applyAlignment="1">
      <alignment horizontal="right" vertical="center" wrapText="1"/>
    </xf>
    <xf numFmtId="2" fontId="10" fillId="0" borderId="33" xfId="0" applyNumberFormat="1" applyFont="1" applyBorder="1" applyAlignment="1">
      <alignment horizontal="right" vertical="center" wrapText="1"/>
    </xf>
    <xf numFmtId="10" fontId="10" fillId="0" borderId="33" xfId="0" applyNumberFormat="1" applyFont="1" applyBorder="1" applyAlignment="1">
      <alignment horizontal="right" vertical="center" wrapText="1"/>
    </xf>
    <xf numFmtId="0" fontId="16" fillId="0" borderId="33" xfId="0" applyFont="1" applyBorder="1" applyAlignment="1">
      <alignment horizontal="center" vertical="center" wrapText="1"/>
    </xf>
    <xf numFmtId="0" fontId="17" fillId="0" borderId="33" xfId="0" applyFont="1" applyBorder="1" applyAlignment="1">
      <alignment vertical="center" wrapText="1"/>
    </xf>
    <xf numFmtId="1" fontId="11" fillId="0" borderId="33" xfId="0" applyNumberFormat="1" applyFont="1" applyBorder="1" applyAlignment="1">
      <alignment vertical="center" wrapText="1"/>
    </xf>
    <xf numFmtId="169" fontId="10" fillId="0" borderId="33" xfId="0" applyNumberFormat="1" applyFont="1" applyBorder="1" applyAlignment="1">
      <alignment vertical="center" wrapText="1"/>
    </xf>
    <xf numFmtId="10" fontId="15" fillId="0" borderId="33" xfId="0" applyNumberFormat="1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40" fillId="0" borderId="0" xfId="0" applyFont="1"/>
    <xf numFmtId="0" fontId="41" fillId="0" borderId="0" xfId="0" applyFont="1"/>
    <xf numFmtId="0" fontId="42" fillId="0" borderId="31" xfId="0" applyFont="1" applyBorder="1" applyAlignment="1">
      <alignment horizontal="center" vertical="center" wrapText="1"/>
    </xf>
    <xf numFmtId="0" fontId="42" fillId="0" borderId="31" xfId="0" applyFont="1" applyBorder="1" applyAlignment="1">
      <alignment vertical="center" wrapText="1"/>
    </xf>
    <xf numFmtId="0" fontId="42" fillId="0" borderId="31" xfId="0" applyFont="1" applyBorder="1" applyAlignment="1">
      <alignment horizontal="left" vertical="center" wrapText="1"/>
    </xf>
    <xf numFmtId="2" fontId="42" fillId="0" borderId="31" xfId="0" applyNumberFormat="1" applyFont="1" applyBorder="1" applyAlignment="1">
      <alignment horizontal="center" vertical="center" wrapText="1"/>
    </xf>
    <xf numFmtId="171" fontId="42" fillId="0" borderId="31" xfId="0" applyNumberFormat="1" applyFont="1" applyBorder="1" applyAlignment="1">
      <alignment horizontal="center" vertical="center" wrapText="1"/>
    </xf>
    <xf numFmtId="0" fontId="44" fillId="0" borderId="31" xfId="0" applyFont="1" applyBorder="1" applyAlignment="1">
      <alignment vertical="center" wrapText="1"/>
    </xf>
    <xf numFmtId="2" fontId="44" fillId="0" borderId="31" xfId="0" applyNumberFormat="1" applyFont="1" applyBorder="1" applyAlignment="1">
      <alignment vertical="center" wrapText="1"/>
    </xf>
    <xf numFmtId="0" fontId="40" fillId="0" borderId="7" xfId="0" applyFont="1" applyBorder="1"/>
    <xf numFmtId="0" fontId="43" fillId="0" borderId="8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41" fillId="0" borderId="18" xfId="0" applyFont="1" applyBorder="1"/>
    <xf numFmtId="0" fontId="42" fillId="0" borderId="32" xfId="0" applyFont="1" applyBorder="1" applyAlignment="1">
      <alignment vertical="center" wrapText="1"/>
    </xf>
    <xf numFmtId="0" fontId="44" fillId="0" borderId="32" xfId="0" applyFont="1" applyBorder="1" applyAlignment="1">
      <alignment vertical="center" wrapText="1"/>
    </xf>
    <xf numFmtId="0" fontId="44" fillId="0" borderId="10" xfId="0" applyFont="1" applyBorder="1" applyAlignment="1">
      <alignment vertical="center" wrapText="1"/>
    </xf>
    <xf numFmtId="0" fontId="45" fillId="0" borderId="0" xfId="0" applyFont="1" applyAlignment="1">
      <alignment vertical="center"/>
    </xf>
    <xf numFmtId="0" fontId="13" fillId="12" borderId="24" xfId="0" applyFont="1" applyFill="1" applyBorder="1" applyAlignment="1">
      <alignment horizontal="center" vertical="center" wrapText="1"/>
    </xf>
    <xf numFmtId="0" fontId="13" fillId="15" borderId="24" xfId="0" applyFont="1" applyFill="1" applyBorder="1" applyAlignment="1">
      <alignment horizontal="center" vertical="center" wrapText="1"/>
    </xf>
    <xf numFmtId="0" fontId="21" fillId="15" borderId="24" xfId="0" applyFont="1" applyFill="1" applyBorder="1" applyAlignment="1">
      <alignment vertical="center" wrapText="1"/>
    </xf>
    <xf numFmtId="0" fontId="13" fillId="10" borderId="24" xfId="0" applyFont="1" applyFill="1" applyBorder="1" applyAlignment="1">
      <alignment horizontal="center" vertical="center" wrapText="1"/>
    </xf>
    <xf numFmtId="2" fontId="21" fillId="10" borderId="24" xfId="0" applyNumberFormat="1" applyFont="1" applyFill="1" applyBorder="1" applyAlignment="1">
      <alignment vertical="center" wrapText="1"/>
    </xf>
    <xf numFmtId="4" fontId="11" fillId="0" borderId="33" xfId="0" applyNumberFormat="1" applyFont="1" applyBorder="1" applyAlignment="1">
      <alignment vertical="center" wrapText="1"/>
    </xf>
    <xf numFmtId="4" fontId="15" fillId="0" borderId="33" xfId="0" applyNumberFormat="1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10" fontId="15" fillId="15" borderId="13" xfId="0" applyNumberFormat="1" applyFont="1" applyFill="1" applyBorder="1" applyAlignment="1">
      <alignment vertical="center" wrapText="1"/>
    </xf>
    <xf numFmtId="10" fontId="15" fillId="15" borderId="15" xfId="0" applyNumberFormat="1" applyFont="1" applyFill="1" applyBorder="1" applyAlignment="1">
      <alignment vertical="center" wrapText="1"/>
    </xf>
    <xf numFmtId="10" fontId="15" fillId="15" borderId="14" xfId="0" applyNumberFormat="1" applyFont="1" applyFill="1" applyBorder="1" applyAlignment="1">
      <alignment vertical="center" wrapText="1"/>
    </xf>
    <xf numFmtId="9" fontId="15" fillId="15" borderId="14" xfId="0" applyNumberFormat="1" applyFont="1" applyFill="1" applyBorder="1" applyAlignment="1">
      <alignment vertical="center" wrapText="1"/>
    </xf>
    <xf numFmtId="0" fontId="15" fillId="15" borderId="35" xfId="0" applyFont="1" applyFill="1" applyBorder="1" applyAlignment="1">
      <alignment vertical="center" wrapText="1"/>
    </xf>
    <xf numFmtId="10" fontId="15" fillId="37" borderId="0" xfId="0" applyNumberFormat="1" applyFont="1" applyFill="1" applyAlignment="1">
      <alignment vertical="center" wrapText="1"/>
    </xf>
    <xf numFmtId="10" fontId="15" fillId="37" borderId="16" xfId="0" applyNumberFormat="1" applyFont="1" applyFill="1" applyBorder="1" applyAlignment="1">
      <alignment vertical="center" wrapText="1"/>
    </xf>
    <xf numFmtId="0" fontId="38" fillId="10" borderId="37" xfId="0" applyFont="1" applyFill="1" applyBorder="1" applyAlignment="1">
      <alignment vertical="center" wrapText="1"/>
    </xf>
    <xf numFmtId="0" fontId="38" fillId="10" borderId="38" xfId="0" applyFont="1" applyFill="1" applyBorder="1" applyAlignment="1">
      <alignment vertical="center" wrapText="1"/>
    </xf>
    <xf numFmtId="0" fontId="17" fillId="17" borderId="36" xfId="0" applyFont="1" applyFill="1" applyBorder="1" applyAlignment="1">
      <alignment vertical="center" wrapText="1"/>
    </xf>
    <xf numFmtId="0" fontId="17" fillId="17" borderId="37" xfId="0" applyFont="1" applyFill="1" applyBorder="1" applyAlignment="1">
      <alignment vertical="center" wrapText="1"/>
    </xf>
    <xf numFmtId="0" fontId="15" fillId="17" borderId="37" xfId="0" applyFont="1" applyFill="1" applyBorder="1" applyAlignment="1">
      <alignment vertical="center" wrapText="1"/>
    </xf>
    <xf numFmtId="0" fontId="17" fillId="17" borderId="38" xfId="0" applyFont="1" applyFill="1" applyBorder="1" applyAlignment="1">
      <alignment vertical="center" wrapText="1"/>
    </xf>
    <xf numFmtId="0" fontId="38" fillId="10" borderId="36" xfId="0" applyFont="1" applyFill="1" applyBorder="1"/>
    <xf numFmtId="0" fontId="38" fillId="10" borderId="36" xfId="0" applyFont="1" applyFill="1" applyBorder="1" applyAlignment="1">
      <alignment wrapText="1"/>
    </xf>
    <xf numFmtId="0" fontId="14" fillId="38" borderId="28" xfId="0" applyFont="1" applyFill="1" applyBorder="1" applyAlignment="1">
      <alignment horizontal="center" vertical="center" wrapText="1"/>
    </xf>
    <xf numFmtId="0" fontId="46" fillId="0" borderId="0" xfId="0" applyFont="1"/>
    <xf numFmtId="0" fontId="47" fillId="0" borderId="0" xfId="0" applyFont="1"/>
    <xf numFmtId="0" fontId="48" fillId="0" borderId="0" xfId="0" applyFont="1"/>
    <xf numFmtId="0" fontId="14" fillId="25" borderId="33" xfId="0" applyFont="1" applyFill="1" applyBorder="1" applyAlignment="1">
      <alignment horizontal="left" vertical="center" wrapText="1"/>
    </xf>
    <xf numFmtId="0" fontId="14" fillId="25" borderId="33" xfId="0" applyFont="1" applyFill="1" applyBorder="1" applyAlignment="1">
      <alignment vertical="center" wrapText="1"/>
    </xf>
    <xf numFmtId="0" fontId="7" fillId="22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3" fillId="34" borderId="28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3" fillId="31" borderId="25" xfId="0" applyFont="1" applyFill="1" applyBorder="1" applyAlignment="1">
      <alignment horizontal="left" vertical="center" wrapText="1"/>
    </xf>
    <xf numFmtId="0" fontId="15" fillId="0" borderId="26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4" fillId="29" borderId="25" xfId="0" applyFont="1" applyFill="1" applyBorder="1" applyAlignment="1">
      <alignment horizontal="left" vertical="center" wrapText="1"/>
    </xf>
    <xf numFmtId="0" fontId="14" fillId="29" borderId="0" xfId="0" applyFont="1" applyFill="1" applyAlignment="1">
      <alignment horizontal="left" vertical="center" wrapText="1"/>
    </xf>
    <xf numFmtId="0" fontId="22" fillId="30" borderId="0" xfId="0" applyFont="1" applyFill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23" fillId="0" borderId="0" xfId="0" applyFont="1" applyAlignment="1">
      <alignment vertical="center" wrapText="1"/>
    </xf>
    <xf numFmtId="0" fontId="17" fillId="36" borderId="0" xfId="0" applyFont="1" applyFill="1" applyAlignment="1">
      <alignment vertical="center" wrapText="1"/>
    </xf>
    <xf numFmtId="0" fontId="26" fillId="11" borderId="2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25" fillId="10" borderId="2" xfId="4" applyFont="1" applyFill="1" applyBorder="1" applyAlignment="1">
      <alignment horizontal="center" vertical="center" wrapText="1"/>
    </xf>
    <xf numFmtId="0" fontId="24" fillId="19" borderId="2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39" fillId="0" borderId="0" xfId="0" applyFont="1" applyAlignment="1">
      <alignment vertical="center" wrapText="1"/>
    </xf>
    <xf numFmtId="0" fontId="17" fillId="21" borderId="32" xfId="0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vertical="center" wrapText="1"/>
    </xf>
  </cellXfs>
  <cellStyles count="9">
    <cellStyle name="20% - Accent2" xfId="2" builtinId="34"/>
    <cellStyle name="Accent1" xfId="5" builtinId="29"/>
    <cellStyle name="Accent2" xfId="6" builtinId="33"/>
    <cellStyle name="Bad" xfId="8" builtinId="27"/>
    <cellStyle name="Calculation" xfId="1" builtinId="22"/>
    <cellStyle name="Good" xfId="3" builtinId="26"/>
    <cellStyle name="Input" xfId="4" builtinId="20"/>
    <cellStyle name="Normal" xfId="0" builtinId="0"/>
    <cellStyle name="Normal 3" xfId="7" xr:uid="{00000000-0005-0000-0000-000007000000}"/>
  </cellStyles>
  <dxfs count="41">
    <dxf>
      <font>
        <strike val="0"/>
        <outline val="0"/>
        <shadow val="0"/>
        <u val="none"/>
        <vertAlign val="baseline"/>
        <sz val="10"/>
        <name val="Arial"/>
        <family val="2"/>
        <charset val="161"/>
        <scheme val="none"/>
      </font>
      <numFmt numFmtId="4" formatCode="#,##0.00"/>
      <alignment horizontal="right" vertical="center" textRotation="0" wrapText="1" indent="0" justifyLastLine="0" shrinkToFit="0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charset val="161"/>
        <scheme val="none"/>
      </font>
      <numFmt numFmtId="13" formatCode="0%"/>
      <alignment horizontal="right" vertical="center" textRotation="0" wrapText="1" indent="0" justifyLastLine="0" shrinkToFit="0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charset val="161"/>
        <scheme val="none"/>
      </font>
      <numFmt numFmtId="4" formatCode="#,##0.00"/>
      <alignment horizontal="right" vertical="center" textRotation="0" wrapText="1" indent="0" justifyLastLine="0" shrinkToFit="0" readingOrder="0"/>
      <border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charset val="161"/>
        <scheme val="none"/>
      </font>
      <alignment vertical="center" textRotation="0" wrapText="1" indent="0" justifyLastLine="0" shrinkToFit="0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charset val="161"/>
        <scheme val="none"/>
      </font>
      <alignment horizontal="center" vertical="center" textRotation="0" wrapText="1" indent="0" justifyLastLine="0" shrinkToFit="0" readingOrder="0"/>
      <border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charset val="161"/>
        <scheme val="none"/>
      </font>
      <alignment horizontal="center" vertical="center" textRotation="0" wrapText="1" indent="0" justifyLastLine="0" shrinkToFit="0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charset val="161"/>
        <scheme val="none"/>
      </font>
      <alignment horizontal="center" vertical="center" textRotation="0" wrapText="1" indent="0" justifyLastLine="0" shrinkToFit="0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charset val="161"/>
        <scheme val="none"/>
      </font>
      <alignment horizontal="left" vertical="center" textRotation="0" wrapText="1" indent="0" justifyLastLine="0" shrinkToFit="0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charset val="161"/>
        <scheme val="none"/>
      </font>
      <alignment horizontal="left" vertical="center" textRotation="0" wrapText="1" indent="0" justifyLastLine="0" shrinkToFit="0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charset val="161"/>
        <scheme val="none"/>
      </font>
      <alignment horizontal="center" vertical="center" textRotation="0" wrapText="1" indent="0" justifyLastLine="0" shrinkToFit="0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E2EFDA"/>
          <bgColor rgb="FF000000"/>
        </patternFill>
      </fill>
    </dxf>
    <dxf>
      <fill>
        <patternFill patternType="solid">
          <fgColor rgb="FFFFF2CC"/>
          <bgColor rgb="FF000000"/>
        </patternFill>
      </fill>
    </dxf>
    <dxf>
      <fill>
        <patternFill patternType="solid">
          <fgColor rgb="FFFCE4D6"/>
          <bgColor rgb="FF000000"/>
        </patternFill>
      </fill>
    </dxf>
    <dxf>
      <border outline="0"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charset val="161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161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font>
        <color rgb="FFFF0000"/>
      </font>
      <numFmt numFmtId="4" formatCode="#,##0.00"/>
    </dxf>
    <dxf>
      <font>
        <color rgb="FFFF0000"/>
      </font>
      <numFmt numFmtId="4" formatCode="#,##0.0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4" formatCode="#,##0.00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2" formatCode="0.00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169" formatCode="#,##0.00\ \€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169" formatCode="#,##0.00\ \€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169" formatCode="#,##0.00\ \€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169" formatCode="#,##0.00\ \€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169" formatCode="#,##0.00\ \€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169" formatCode="#,##0.00\ \€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4" formatCode="#,##0.00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4" formatCode="#,##0.00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4" formatCode="#,##0.00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4" formatCode="#,##0.00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4" formatCode="#,##0.00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2" formatCode="0.00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2" formatCode="0.00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2" formatCode="0.00"/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14" formatCode="0.00%"/>
      <fill>
        <patternFill patternType="solid">
          <fgColor indexed="64"/>
          <bgColor rgb="FFFFFF99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14" formatCode="0.00%"/>
      <fill>
        <patternFill patternType="solid">
          <fgColor indexed="64"/>
          <bgColor rgb="FFFFFF99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numFmt numFmtId="14" formatCode="0.00%"/>
      <fill>
        <patternFill patternType="solid">
          <fgColor indexed="64"/>
          <bgColor rgb="FFFFFF99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161"/>
        <scheme val="none"/>
      </font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l-GR"/>
              <a:t>Εύρος μεταβολής </a:t>
            </a:r>
            <a:r>
              <a:rPr lang="en-US"/>
              <a:t>DPP </a:t>
            </a:r>
            <a:r>
              <a:rPr lang="el-GR"/>
              <a:t>ανά παράγοντα ευαισθησίας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Εύρος DPP</c:v>
          </c:tx>
          <c:spPr>
            <a:solidFill>
              <a:srgbClr val="B95047"/>
            </a:solidFill>
            <a:ln>
              <a:noFill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</a14:hiddenLine>
              </a:ext>
            </a:extLst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θ_Σύγκριση_Ευαισθησίας!$M$5:$M$9</c:f>
              <c:strCache>
                <c:ptCount val="5"/>
                <c:pt idx="0">
                  <c:v>CAPEX</c:v>
                </c:pt>
                <c:pt idx="1">
                  <c:v>Ταυτοχρονισμός</c:v>
                </c:pt>
                <c:pt idx="2">
                  <c:v>Αποζημίωση kWh</c:v>
                </c:pt>
                <c:pt idx="3">
                  <c:v>Τιμή αγοράς kWh</c:v>
                </c:pt>
                <c:pt idx="4">
                  <c:v>Επιτόκιο</c:v>
                </c:pt>
              </c:strCache>
            </c:strRef>
          </c:cat>
          <c:val>
            <c:numRef>
              <c:f>θ_Σύγκριση_Ευαισθησίας!$N$5:$N$9</c:f>
              <c:numCache>
                <c:formatCode>0.00</c:formatCode>
                <c:ptCount val="5"/>
                <c:pt idx="0">
                  <c:v>3.7690982613940012</c:v>
                </c:pt>
                <c:pt idx="1">
                  <c:v>1.1575582656148988</c:v>
                </c:pt>
                <c:pt idx="2">
                  <c:v>1.2343838347088569</c:v>
                </c:pt>
                <c:pt idx="3">
                  <c:v>4.7028556067883382</c:v>
                </c:pt>
                <c:pt idx="4">
                  <c:v>4.1185387104242874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110-48C0-8FB6-1C1744E84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2587231"/>
        <c:axId val="432595871"/>
      </c:barChart>
      <c:catAx>
        <c:axId val="43258723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32595871"/>
        <c:crosses val="autoZero"/>
        <c:auto val="1"/>
        <c:lblAlgn val="ctr"/>
        <c:lblOffset val="100"/>
        <c:noMultiLvlLbl val="0"/>
      </c:catAx>
      <c:valAx>
        <c:axId val="432595871"/>
        <c:scaling>
          <c:orientation val="minMax"/>
        </c:scaling>
        <c:delete val="0"/>
        <c:axPos val="b"/>
        <c:majorGridlines>
          <c:spPr>
            <a:ln>
              <a:solidFill>
                <a:srgbClr val="E1E5EB"/>
              </a:solidFill>
            </a:ln>
          </c:spPr>
        </c:majorGridlines>
        <c:numFmt formatCode="0.00" sourceLinked="1"/>
        <c:majorTickMark val="out"/>
        <c:minorTickMark val="none"/>
        <c:tickLblPos val="nextTo"/>
        <c:crossAx val="432587231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ln>
      <a:solidFill>
        <a:srgbClr val="D2D8E0"/>
      </a:solidFill>
    </a:ln>
  </c:spPr>
  <c:txPr>
    <a:bodyPr/>
    <a:lstStyle/>
    <a:p>
      <a:pPr>
        <a:defRPr sz="14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l-GR"/>
              <a:t>Συντελεστής ευαισθησίας </a:t>
            </a:r>
            <a:r>
              <a:rPr lang="en-US"/>
              <a:t>DPP </a:t>
            </a:r>
            <a:r>
              <a:rPr lang="el-GR"/>
              <a:t>ανά παράγοντα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Συντελεστής DPP</c:v>
          </c:tx>
          <c:spPr>
            <a:solidFill>
              <a:srgbClr val="F59E0B"/>
            </a:solidFill>
            <a:ln>
              <a:noFill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</a14:hiddenLine>
              </a:ext>
            </a:extLst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θ_Σύγκριση_Ευαισθησίας!$M$5:$M$9</c:f>
              <c:strCache>
                <c:ptCount val="5"/>
                <c:pt idx="0">
                  <c:v>CAPEX</c:v>
                </c:pt>
                <c:pt idx="1">
                  <c:v>Ταυτοχρονισμός</c:v>
                </c:pt>
                <c:pt idx="2">
                  <c:v>Αποζημίωση kWh</c:v>
                </c:pt>
                <c:pt idx="3">
                  <c:v>Τιμή αγοράς kWh</c:v>
                </c:pt>
                <c:pt idx="4">
                  <c:v>Επιτόκιο</c:v>
                </c:pt>
              </c:strCache>
            </c:strRef>
          </c:cat>
          <c:val>
            <c:numRef>
              <c:f>θ_Σύγκριση_Ευαισθησίας!$O$5:$O$9</c:f>
              <c:numCache>
                <c:formatCode>0.00</c:formatCode>
                <c:ptCount val="5"/>
                <c:pt idx="0">
                  <c:v>1.0918912004047849</c:v>
                </c:pt>
                <c:pt idx="1">
                  <c:v>0.39188751917154308</c:v>
                </c:pt>
                <c:pt idx="2">
                  <c:v>0.39751935288506535</c:v>
                </c:pt>
                <c:pt idx="3">
                  <c:v>0.65394000160217947</c:v>
                </c:pt>
                <c:pt idx="4">
                  <c:v>9.894630162472598E-2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BC3-4689-9B0A-7B5B5AD460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2584831"/>
        <c:axId val="432596351"/>
      </c:barChart>
      <c:catAx>
        <c:axId val="43258483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32596351"/>
        <c:crosses val="autoZero"/>
        <c:auto val="1"/>
        <c:lblAlgn val="ctr"/>
        <c:lblOffset val="100"/>
        <c:noMultiLvlLbl val="0"/>
      </c:catAx>
      <c:valAx>
        <c:axId val="432596351"/>
        <c:scaling>
          <c:orientation val="minMax"/>
        </c:scaling>
        <c:delete val="0"/>
        <c:axPos val="b"/>
        <c:majorGridlines>
          <c:spPr>
            <a:ln>
              <a:solidFill>
                <a:srgbClr val="E1E5EB"/>
              </a:solidFill>
            </a:ln>
          </c:spPr>
        </c:majorGridlines>
        <c:numFmt formatCode="0.00" sourceLinked="1"/>
        <c:majorTickMark val="out"/>
        <c:minorTickMark val="none"/>
        <c:tickLblPos val="nextTo"/>
        <c:crossAx val="432584831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ln>
      <a:solidFill>
        <a:srgbClr val="D2D8E0"/>
      </a:solidFill>
    </a:ln>
  </c:spPr>
  <c:txPr>
    <a:bodyPr/>
    <a:lstStyle/>
    <a:p>
      <a:pPr>
        <a:defRPr sz="14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 sz="1300" b="1">
                <a:latin typeface="Arial" panose="020B0604020202020204" pitchFamily="34" charset="0"/>
              </a:defRPr>
            </a:pPr>
            <a:r>
              <a:rPr lang="en-US"/>
              <a:t>DPP </a:t>
            </a:r>
            <a:r>
              <a:rPr lang="el-GR"/>
              <a:t>ανά προεξοφλητικό επιτόκιο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"/>
          <c:y val="6.240859076365142E-2"/>
          <c:w val="0.95612067849932092"/>
          <c:h val="0.85937919422892528"/>
        </c:manualLayout>
      </c:layout>
      <c:lineChart>
        <c:grouping val="standard"/>
        <c:varyColors val="0"/>
        <c:ser>
          <c:idx val="0"/>
          <c:order val="0"/>
          <c:tx>
            <c:v>DPP έτη</c:v>
          </c:tx>
          <c:spPr>
            <a:ln w="28575">
              <a:solidFill>
                <a:srgbClr val="1F778B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1F778B"/>
              </a:solidFill>
              <a:ln w="28575">
                <a:solidFill>
                  <a:srgbClr val="1F778B"/>
                </a:solidFill>
                <a:prstDash val="solid"/>
              </a:ln>
            </c:spPr>
          </c:marker>
          <c:dLbls>
            <c:spPr>
              <a:noFill/>
              <a:ln>
                <a:noFill/>
                <a:prstDash val="solid"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>
                    <a:solidFill>
                      <a:srgbClr val="3C4350"/>
                    </a:solidFill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δ_Ευαισθησία_Επιτοκίου!$A$15:$A$25</c:f>
              <c:numCache>
                <c:formatCode>0.00%</c:formatCode>
                <c:ptCount val="1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</c:numCache>
            </c:numRef>
          </c:cat>
          <c:val>
            <c:numRef>
              <c:f>δ_Ευαισθησία_Επιτοκίου!$C$15:$C$25</c:f>
              <c:numCache>
                <c:formatCode>0.00</c:formatCode>
                <c:ptCount val="11"/>
                <c:pt idx="0">
                  <c:v>6.2865472709373762</c:v>
                </c:pt>
                <c:pt idx="1">
                  <c:v>6.5264943611628068</c:v>
                </c:pt>
                <c:pt idx="2">
                  <c:v>6.7869833666614596</c:v>
                </c:pt>
                <c:pt idx="3">
                  <c:v>7.0712739517985659</c:v>
                </c:pt>
                <c:pt idx="4">
                  <c:v>7.3893477687827911</c:v>
                </c:pt>
                <c:pt idx="5">
                  <c:v>7.7389846123024526</c:v>
                </c:pt>
                <c:pt idx="6">
                  <c:v>8.1296733556462968</c:v>
                </c:pt>
                <c:pt idx="7">
                  <c:v>8.5795719957102516</c:v>
                </c:pt>
                <c:pt idx="8">
                  <c:v>9.0856215838538894</c:v>
                </c:pt>
                <c:pt idx="9">
                  <c:v>9.6896139301331683</c:v>
                </c:pt>
                <c:pt idx="10">
                  <c:v>10.405085981361664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4E-47EC-A726-F145EEC53A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majorGridlines>
          <c:spPr>
            <a:ln>
              <a:solidFill>
                <a:srgbClr val="E6E6E6"/>
              </a:solidFill>
            </a:ln>
          </c:spPr>
        </c:majorGridlines>
        <c:numFmt formatCode="0.00%" sourceLinked="1"/>
        <c:majorTickMark val="out"/>
        <c:minorTickMark val="none"/>
        <c:tickLblPos val="low"/>
        <c:spPr>
          <a:ln>
            <a:solidFill>
              <a:srgbClr val="788291"/>
            </a:solidFill>
          </a:ln>
        </c:spPr>
        <c:txPr>
          <a:bodyPr/>
          <a:lstStyle/>
          <a:p>
            <a:pPr>
              <a:defRPr sz="1100">
                <a:latin typeface="Arial"/>
                <a:ea typeface="Arial"/>
                <a:cs typeface="Arial"/>
              </a:defRPr>
            </a:pPr>
            <a:endParaRPr lang="el-GR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>
          <c:spPr>
            <a:ln w="6350">
              <a:solidFill>
                <a:srgbClr val="E1E5EB"/>
              </a:solidFill>
            </a:ln>
          </c:spPr>
        </c:majorGridlines>
        <c:numFmt formatCode="0.00" sourceLinked="1"/>
        <c:majorTickMark val="out"/>
        <c:minorTickMark val="none"/>
        <c:tickLblPos val="nextTo"/>
        <c:crossAx val="10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gap"/>
    <c:showDLblsOverMax val="1"/>
  </c:chart>
  <c:spPr>
    <a:solidFill>
      <a:srgbClr val="FFFFFF"/>
    </a:solidFill>
    <a:ln w="9525">
      <a:solidFill>
        <a:srgbClr val="D2D8E0"/>
      </a:solidFill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 sz="1300" b="1">
                <a:latin typeface="Arial" panose="020B0604020202020204" pitchFamily="34" charset="0"/>
              </a:defRPr>
            </a:pPr>
            <a:r>
              <a:rPr lang="el-GR"/>
              <a:t>Συντελεστής ευαισθησίας </a:t>
            </a:r>
            <a:r>
              <a:rPr lang="en-US"/>
              <a:t>DPP </a:t>
            </a:r>
            <a:r>
              <a:rPr lang="el-GR"/>
              <a:t>ως προς το επιτόκιο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Ευαισθησία DPP</c:v>
          </c:tx>
          <c:spPr>
            <a:ln w="28575">
              <a:solidFill>
                <a:srgbClr val="F59E0B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59E0B"/>
              </a:solidFill>
              <a:ln w="28575">
                <a:solidFill>
                  <a:srgbClr val="F59E0B"/>
                </a:solidFill>
                <a:prstDash val="solid"/>
              </a:ln>
            </c:spPr>
          </c:marker>
          <c:dLbls>
            <c:spPr>
              <a:noFill/>
              <a:ln>
                <a:noFill/>
                <a:prstDash val="solid"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>
                    <a:solidFill>
                      <a:srgbClr val="3C4350"/>
                    </a:solidFill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δ_Ευαισθησία_Επιτοκίου!$A$16:$A$25</c:f>
              <c:numCache>
                <c:formatCode>0.00%</c:formatCode>
                <c:ptCount val="10"/>
                <c:pt idx="0">
                  <c:v>0.01</c:v>
                </c:pt>
                <c:pt idx="1">
                  <c:v>0.02</c:v>
                </c:pt>
                <c:pt idx="2">
                  <c:v>0.03</c:v>
                </c:pt>
                <c:pt idx="3">
                  <c:v>0.04</c:v>
                </c:pt>
                <c:pt idx="4">
                  <c:v>0.05</c:v>
                </c:pt>
                <c:pt idx="5">
                  <c:v>0.06</c:v>
                </c:pt>
                <c:pt idx="6">
                  <c:v>7.0000000000000007E-2</c:v>
                </c:pt>
                <c:pt idx="7">
                  <c:v>0.08</c:v>
                </c:pt>
                <c:pt idx="8">
                  <c:v>0.09</c:v>
                </c:pt>
                <c:pt idx="9">
                  <c:v>0.1</c:v>
                </c:pt>
              </c:numCache>
            </c:numRef>
          </c:cat>
          <c:val>
            <c:numRef>
              <c:f>δ_Ευαισθησία_Επιτοκίου!$G$16:$G$25</c:f>
              <c:numCache>
                <c:formatCode>0.00</c:formatCode>
                <c:ptCount val="10"/>
                <c:pt idx="0">
                  <c:v>7.6761350787511687E-2</c:v>
                </c:pt>
                <c:pt idx="1">
                  <c:v>#N/A</c:v>
                </c:pt>
                <c:pt idx="2">
                  <c:v>8.3775241452212046E-2</c:v>
                </c:pt>
                <c:pt idx="3">
                  <c:v>8.875289205513931E-2</c:v>
                </c:pt>
                <c:pt idx="4">
                  <c:v>9.3512458010662505E-2</c:v>
                </c:pt>
                <c:pt idx="5">
                  <c:v>9.8916552203465194E-2</c:v>
                </c:pt>
                <c:pt idx="6">
                  <c:v>0.10564862367892151</c:v>
                </c:pt>
                <c:pt idx="7">
                  <c:v>0.11289444774947865</c:v>
                </c:pt>
                <c:pt idx="8">
                  <c:v>0.12219317085828081</c:v>
                </c:pt>
                <c:pt idx="9">
                  <c:v>0.1332735922292366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2A-46FA-9ACF-42A16C35F19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majorGridlines>
          <c:spPr>
            <a:ln>
              <a:solidFill>
                <a:srgbClr val="E6E6E6"/>
              </a:solidFill>
            </a:ln>
          </c:spPr>
        </c:majorGridlines>
        <c:numFmt formatCode="0.00%" sourceLinked="1"/>
        <c:majorTickMark val="out"/>
        <c:minorTickMark val="none"/>
        <c:tickLblPos val="low"/>
        <c:spPr>
          <a:ln>
            <a:solidFill>
              <a:srgbClr val="788291"/>
            </a:solidFill>
          </a:ln>
        </c:spPr>
        <c:txPr>
          <a:bodyPr/>
          <a:lstStyle/>
          <a:p>
            <a:pPr>
              <a:defRPr sz="1100">
                <a:latin typeface="Arial"/>
                <a:ea typeface="Arial"/>
                <a:cs typeface="Arial"/>
              </a:defRPr>
            </a:pPr>
            <a:endParaRPr lang="el-GR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>
          <c:spPr>
            <a:ln w="6350">
              <a:solidFill>
                <a:srgbClr val="E1E5EB"/>
              </a:solidFill>
            </a:ln>
          </c:spPr>
        </c:majorGridlines>
        <c:numFmt formatCode="0.00" sourceLinked="1"/>
        <c:majorTickMark val="none"/>
        <c:minorTickMark val="none"/>
        <c:tickLblPos val="nextTo"/>
        <c:crossAx val="10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gap"/>
    <c:showDLblsOverMax val="1"/>
  </c:chart>
  <c:spPr>
    <a:solidFill>
      <a:srgbClr val="FFFFFF"/>
    </a:solidFill>
    <a:ln w="9525">
      <a:solidFill>
        <a:srgbClr val="D2D8E0"/>
      </a:solidFill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DPP </a:t>
            </a:r>
            <a:r>
              <a:rPr lang="el-GR"/>
              <a:t>ανά μεταβολή </a:t>
            </a:r>
            <a:r>
              <a:rPr lang="en-US"/>
              <a:t>CAPEX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"/>
          <c:y val="6.240859076365142E-2"/>
          <c:w val="0.92809683619900796"/>
          <c:h val="0.80689847791374258"/>
        </c:manualLayout>
      </c:layout>
      <c:lineChart>
        <c:grouping val="standard"/>
        <c:varyColors val="0"/>
        <c:ser>
          <c:idx val="0"/>
          <c:order val="0"/>
          <c:tx>
            <c:v>DPP έτη</c:v>
          </c:tx>
          <c:spPr>
            <a:ln w="28575">
              <a:solidFill>
                <a:srgbClr val="1F778B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1F778B"/>
              </a:solidFill>
              <a:ln w="28575">
                <a:solidFill>
                  <a:srgbClr val="1F778B"/>
                </a:solidFill>
                <a:prstDash val="solid"/>
              </a:ln>
            </c:spPr>
          </c:marker>
          <c:dLbls>
            <c:spPr>
              <a:noFill/>
              <a:ln>
                <a:noFill/>
                <a:prstDash val="solid"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ε_Ευαισθησία_Κόστους_ΦΒ!$A$15:$A$25</c:f>
              <c:numCache>
                <c:formatCode>0.00%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cat>
          <c:val>
            <c:numRef>
              <c:f>ε_Ευαισθησία_Κόστους_ΦΒ!$D$15:$D$25</c:f>
              <c:numCache>
                <c:formatCode>0.00</c:formatCode>
                <c:ptCount val="11"/>
                <c:pt idx="0">
                  <c:v>6.7869833666614596</c:v>
                </c:pt>
                <c:pt idx="1">
                  <c:v>7.1510076382000873</c:v>
                </c:pt>
                <c:pt idx="2">
                  <c:v>7.5192922424054869</c:v>
                </c:pt>
                <c:pt idx="3">
                  <c:v>7.8875768466108838</c:v>
                </c:pt>
                <c:pt idx="4">
                  <c:v>8.2609786798326095</c:v>
                </c:pt>
                <c:pt idx="5">
                  <c:v>8.6366289761221147</c:v>
                </c:pt>
                <c:pt idx="6">
                  <c:v>9.0125248578598534</c:v>
                </c:pt>
                <c:pt idx="7">
                  <c:v>9.3956881600751512</c:v>
                </c:pt>
                <c:pt idx="8">
                  <c:v>9.7788514622904472</c:v>
                </c:pt>
                <c:pt idx="9">
                  <c:v>10.165255059795859</c:v>
                </c:pt>
                <c:pt idx="10">
                  <c:v>10.556081628055461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62-457B-BE06-6759FF94BE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majorGridlines>
          <c:spPr>
            <a:ln>
              <a:solidFill>
                <a:srgbClr val="E6E6E6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CAPEX</a:t>
                </a:r>
              </a:p>
            </c:rich>
          </c:tx>
          <c:overlay val="0"/>
        </c:title>
        <c:numFmt formatCode="0.00%" sourceLinked="1"/>
        <c:majorTickMark val="out"/>
        <c:minorTickMark val="none"/>
        <c:tickLblPos val="low"/>
        <c:spPr>
          <a:ln>
            <a:solidFill>
              <a:srgbClr val="788291"/>
            </a:solidFill>
          </a:ln>
        </c:sp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>
          <c:spPr>
            <a:ln w="6350">
              <a:solidFill>
                <a:srgbClr val="E1E5EB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DPP (</a:t>
                </a:r>
                <a:r>
                  <a:rPr lang="el-GR"/>
                  <a:t>έτη)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0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gap"/>
    <c:showDLblsOverMax val="1"/>
  </c:chart>
  <c:spPr>
    <a:solidFill>
      <a:srgbClr val="FFFFFF"/>
    </a:solidFill>
    <a:ln w="9525">
      <a:solidFill>
        <a:srgbClr val="D2D8E0"/>
      </a:solidFill>
    </a:ln>
  </c:spPr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 sz="1300" b="1">
                <a:latin typeface="Arial" panose="020B0604020202020204" pitchFamily="34" charset="0"/>
              </a:defRPr>
            </a:pPr>
            <a:r>
              <a:rPr lang="el-GR"/>
              <a:t>Συντελεστής ευαισθησίας </a:t>
            </a:r>
            <a:r>
              <a:rPr lang="en-US"/>
              <a:t>DPP </a:t>
            </a:r>
            <a:r>
              <a:rPr lang="el-GR"/>
              <a:t>ως προς το </a:t>
            </a:r>
            <a:r>
              <a:rPr lang="en-US"/>
              <a:t>CAPEX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Ευαισθησία DPP</c:v>
          </c:tx>
          <c:spPr>
            <a:ln w="28575">
              <a:solidFill>
                <a:srgbClr val="F59E0B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59E0B"/>
              </a:solidFill>
              <a:ln w="28575">
                <a:solidFill>
                  <a:srgbClr val="F59E0B"/>
                </a:solidFill>
                <a:prstDash val="solid"/>
              </a:ln>
            </c:spPr>
          </c:marker>
          <c:dLbls>
            <c:spPr>
              <a:noFill/>
              <a:ln>
                <a:noFill/>
                <a:prstDash val="solid"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>
                    <a:solidFill>
                      <a:srgbClr val="3C4350"/>
                    </a:solidFill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ε_Ευαισθησία_Κόστους_ΦΒ!$A$16:$A$25</c:f>
              <c:numCache>
                <c:formatCode>0.00%</c:formatCode>
                <c:ptCount val="1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</c:numCache>
            </c:numRef>
          </c:cat>
          <c:val>
            <c:numRef>
              <c:f>ε_Ευαισθησία_Κόστους_ΦΒ!$H$16:$H$25</c:f>
              <c:numCache>
                <c:formatCode>#,##0.00</c:formatCode>
                <c:ptCount val="10"/>
                <c:pt idx="0">
                  <c:v>1.0727130210065385</c:v>
                </c:pt>
                <c:pt idx="1">
                  <c:v>1.078990232009734</c:v>
                </c:pt>
                <c:pt idx="2">
                  <c:v>1.0810826356774661</c:v>
                </c:pt>
                <c:pt idx="3">
                  <c:v>1.0858987222597334</c:v>
                </c:pt>
                <c:pt idx="4">
                  <c:v>1.0901135361824239</c:v>
                </c:pt>
                <c:pt idx="5">
                  <c:v>1.0930440280387999</c:v>
                </c:pt>
                <c:pt idx="6">
                  <c:v>1.0981966308490643</c:v>
                </c:pt>
                <c:pt idx="7">
                  <c:v>1.1020610829567634</c:v>
                </c:pt>
                <c:pt idx="8">
                  <c:v>1.1061277188425469</c:v>
                </c:pt>
                <c:pt idx="9">
                  <c:v>1.1106843962247788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42-43F6-BA1F-856A10ACFE4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majorGridlines>
          <c:spPr>
            <a:ln>
              <a:solidFill>
                <a:srgbClr val="E6E6E6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CAPEX</a:t>
                </a:r>
              </a:p>
            </c:rich>
          </c:tx>
          <c:overlay val="0"/>
        </c:title>
        <c:numFmt formatCode="0.00%" sourceLinked="1"/>
        <c:majorTickMark val="out"/>
        <c:minorTickMark val="none"/>
        <c:tickLblPos val="low"/>
        <c:spPr>
          <a:ln>
            <a:solidFill>
              <a:srgbClr val="788291"/>
            </a:solidFill>
          </a:ln>
        </c:spPr>
        <c:txPr>
          <a:bodyPr/>
          <a:lstStyle/>
          <a:p>
            <a:pPr>
              <a:defRPr sz="1100">
                <a:latin typeface="Arial"/>
                <a:ea typeface="Arial"/>
                <a:cs typeface="Arial"/>
              </a:defRPr>
            </a:pPr>
            <a:endParaRPr lang="el-GR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>
          <c:spPr>
            <a:ln w="6350">
              <a:solidFill>
                <a:srgbClr val="E1E5EB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900"/>
                </a:pPr>
                <a:r>
                  <a:rPr lang="el-GR"/>
                  <a:t>Ευαισθησία</a:t>
                </a:r>
              </a:p>
            </c:rich>
          </c:tx>
          <c:overlay val="0"/>
        </c:title>
        <c:numFmt formatCode="#,##0.00" sourceLinked="1"/>
        <c:majorTickMark val="none"/>
        <c:minorTickMark val="none"/>
        <c:tickLblPos val="nextTo"/>
        <c:crossAx val="10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gap"/>
    <c:showDLblsOverMax val="1"/>
  </c:chart>
  <c:spPr>
    <a:solidFill>
      <a:srgbClr val="FFFFFF"/>
    </a:solidFill>
    <a:ln w="9525">
      <a:solidFill>
        <a:srgbClr val="D2D8E0"/>
      </a:solidFill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 sz="1300" b="1">
                <a:latin typeface="Arial" panose="020B0604020202020204" pitchFamily="34" charset="0"/>
              </a:defRPr>
            </a:pPr>
            <a:r>
              <a:rPr lang="en-US"/>
              <a:t>DPP </a:t>
            </a:r>
            <a:r>
              <a:rPr lang="el-GR"/>
              <a:t>ανά μεταβολή αποζημίωσης περίσσειας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2.7972027972027972E-2"/>
          <c:y val="7.7675782893550524E-2"/>
          <c:w val="0.93374307582181593"/>
          <c:h val="0.81357768828514754"/>
        </c:manualLayout>
      </c:layout>
      <c:lineChart>
        <c:grouping val="standard"/>
        <c:varyColors val="0"/>
        <c:ser>
          <c:idx val="0"/>
          <c:order val="0"/>
          <c:tx>
            <c:v>DPP έτη</c:v>
          </c:tx>
          <c:spPr>
            <a:ln w="28575">
              <a:solidFill>
                <a:srgbClr val="1F778B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1F778B"/>
              </a:solidFill>
              <a:ln w="28575">
                <a:solidFill>
                  <a:srgbClr val="1F778B"/>
                </a:solidFill>
                <a:prstDash val="solid"/>
              </a:ln>
            </c:spPr>
          </c:marker>
          <c:dLbls>
            <c:spPr>
              <a:noFill/>
              <a:ln>
                <a:noFill/>
                <a:prstDash val="solid"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>
                    <a:solidFill>
                      <a:srgbClr val="3C4350"/>
                    </a:solidFill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ζ_Ευαισθησία_Τιμής_kWh!$A$15:$A$25</c:f>
              <c:numCache>
                <c:formatCode>0.00%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cat>
          <c:val>
            <c:numRef>
              <c:f>ζ_Ευαισθησία_Τιμής_kWh!$D$15:$D$25</c:f>
              <c:numCache>
                <c:formatCode>0.00</c:formatCode>
                <c:ptCount val="11"/>
                <c:pt idx="0">
                  <c:v>6.7869833666614596</c:v>
                </c:pt>
                <c:pt idx="1">
                  <c:v>6.6398506813700013</c:v>
                </c:pt>
                <c:pt idx="2">
                  <c:v>6.4985939063827427</c:v>
                </c:pt>
                <c:pt idx="3">
                  <c:v>6.3628679410010971</c:v>
                </c:pt>
                <c:pt idx="4">
                  <c:v>6.232354189975311</c:v>
                </c:pt>
                <c:pt idx="5">
                  <c:v>6.1067580667573527</c:v>
                </c:pt>
                <c:pt idx="6">
                  <c:v>5.9860850723136902</c:v>
                </c:pt>
                <c:pt idx="7">
                  <c:v>5.8718111023703061</c:v>
                </c:pt>
                <c:pt idx="8">
                  <c:v>5.7616125263410822</c:v>
                </c:pt>
                <c:pt idx="9">
                  <c:v>5.6552751502934768</c:v>
                </c:pt>
                <c:pt idx="10">
                  <c:v>5.5525995319526027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55-4E6E-AF8C-466FA7A37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majorGridlines>
          <c:spPr>
            <a:ln>
              <a:solidFill>
                <a:srgbClr val="E6E6E6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el-GR" sz="1100"/>
                  <a:t>Τιμή αποζημίωσης </a:t>
                </a:r>
                <a:r>
                  <a:rPr lang="en-US" sz="1100"/>
                  <a:t>kWh</a:t>
                </a:r>
              </a:p>
            </c:rich>
          </c:tx>
          <c:overlay val="0"/>
        </c:title>
        <c:numFmt formatCode="0.00%" sourceLinked="1"/>
        <c:majorTickMark val="out"/>
        <c:minorTickMark val="none"/>
        <c:tickLblPos val="low"/>
        <c:spPr>
          <a:ln>
            <a:solidFill>
              <a:srgbClr val="788291"/>
            </a:solidFill>
          </a:ln>
        </c:spPr>
        <c:txPr>
          <a:bodyPr/>
          <a:lstStyle/>
          <a:p>
            <a:pPr>
              <a:defRPr sz="800">
                <a:latin typeface="Arial"/>
                <a:ea typeface="Arial"/>
                <a:cs typeface="Arial"/>
              </a:defRPr>
            </a:pPr>
            <a:endParaRPr lang="el-GR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>
          <c:spPr>
            <a:ln w="6350">
              <a:solidFill>
                <a:srgbClr val="E1E5EB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DPP (</a:t>
                </a:r>
                <a:r>
                  <a:rPr lang="el-GR" sz="1100"/>
                  <a:t>έτη)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0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gap"/>
    <c:showDLblsOverMax val="1"/>
  </c:chart>
  <c:spPr>
    <a:solidFill>
      <a:srgbClr val="FFFFFF"/>
    </a:solidFill>
    <a:ln w="9525">
      <a:solidFill>
        <a:srgbClr val="D2D8E0"/>
      </a:solidFill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 sz="1300" b="1">
                <a:latin typeface="Arial" panose="020B0604020202020204" pitchFamily="34" charset="0"/>
              </a:defRPr>
            </a:pPr>
            <a:r>
              <a:rPr lang="el-GR"/>
              <a:t>Συντελεστής ευαισθησίας </a:t>
            </a:r>
            <a:r>
              <a:rPr lang="en-US"/>
              <a:t>DPP </a:t>
            </a:r>
            <a:r>
              <a:rPr lang="el-GR"/>
              <a:t>ως προς την αποζημίωση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Ευαισθησία DPP</c:v>
          </c:tx>
          <c:spPr>
            <a:ln w="28575">
              <a:solidFill>
                <a:srgbClr val="F59E0B"/>
              </a:solidFill>
              <a:prstDash val="solid"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>
                    <a:solidFill>
                      <a:srgbClr val="3C4350"/>
                    </a:solidFill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ζ_Ευαισθησία_Τιμής_kWh!$A$16:$A$25</c:f>
              <c:numCache>
                <c:formatCode>0.00%</c:formatCode>
                <c:ptCount val="1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</c:numCache>
            </c:numRef>
          </c:cat>
          <c:val>
            <c:numRef>
              <c:f>ζ_Ευαισθησία_Τιμής_kWh!$H$16:$H$25</c:f>
              <c:numCache>
                <c:formatCode>#,##0.00</c:formatCode>
                <c:ptCount val="10"/>
                <c:pt idx="0">
                  <c:v>-0.43357314241904238</c:v>
                </c:pt>
                <c:pt idx="1">
                  <c:v>-0.42491552535007504</c:v>
                </c:pt>
                <c:pt idx="2">
                  <c:v>-0.41659689118406024</c:v>
                </c:pt>
                <c:pt idx="3">
                  <c:v>-0.40859771324220406</c:v>
                </c:pt>
                <c:pt idx="4">
                  <c:v>-0.40089993633723192</c:v>
                </c:pt>
                <c:pt idx="5">
                  <c:v>-0.39335015822684255</c:v>
                </c:pt>
                <c:pt idx="6">
                  <c:v>-0.38526363727644497</c:v>
                </c:pt>
                <c:pt idx="7">
                  <c:v>-0.37769756640230351</c:v>
                </c:pt>
                <c:pt idx="8">
                  <c:v>-0.37054859451077449</c:v>
                </c:pt>
                <c:pt idx="9">
                  <c:v>-0.36375036390167415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C6-484A-8FCB-3CD7EF11045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majorGridlines>
          <c:spPr>
            <a:ln>
              <a:solidFill>
                <a:srgbClr val="E6E6E6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el-GR" sz="1100"/>
                  <a:t>Τιμή αποζημίωσης </a:t>
                </a:r>
                <a:r>
                  <a:rPr lang="en-US" sz="1100"/>
                  <a:t>kWh</a:t>
                </a:r>
              </a:p>
            </c:rich>
          </c:tx>
          <c:overlay val="0"/>
        </c:title>
        <c:numFmt formatCode="0.00%" sourceLinked="1"/>
        <c:majorTickMark val="out"/>
        <c:minorTickMark val="none"/>
        <c:tickLblPos val="low"/>
        <c:spPr>
          <a:ln>
            <a:solidFill>
              <a:srgbClr val="788291"/>
            </a:solidFill>
          </a:ln>
        </c:spPr>
        <c:txPr>
          <a:bodyPr/>
          <a:lstStyle/>
          <a:p>
            <a:pPr>
              <a:defRPr sz="1100" baseline="0">
                <a:latin typeface="Arial"/>
                <a:ea typeface="Arial"/>
                <a:cs typeface="Arial"/>
              </a:defRPr>
            </a:pPr>
            <a:endParaRPr lang="el-GR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>
          <c:spPr>
            <a:ln w="6350">
              <a:solidFill>
                <a:srgbClr val="E1E5EB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el-GR" sz="1100"/>
                  <a:t>Ευαισθησία</a:t>
                </a:r>
              </a:p>
            </c:rich>
          </c:tx>
          <c:overlay val="0"/>
        </c:title>
        <c:numFmt formatCode="#,##0.00" sourceLinked="1"/>
        <c:majorTickMark val="none"/>
        <c:minorTickMark val="none"/>
        <c:tickLblPos val="nextTo"/>
        <c:crossAx val="10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gap"/>
    <c:showDLblsOverMax val="1"/>
  </c:chart>
  <c:spPr>
    <a:solidFill>
      <a:srgbClr val="FFFFFF"/>
    </a:solidFill>
    <a:ln w="9525">
      <a:solidFill>
        <a:srgbClr val="D2D8E0"/>
      </a:solidFill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 sz="1300" b="1">
                <a:latin typeface="Arial" panose="020B0604020202020204" pitchFamily="34" charset="0"/>
              </a:defRPr>
            </a:pPr>
            <a:r>
              <a:rPr lang="en-US"/>
              <a:t>DPP </a:t>
            </a:r>
            <a:r>
              <a:rPr lang="el-GR"/>
              <a:t>ανά μεταβολή τιμής αγοράς </a:t>
            </a:r>
            <a:r>
              <a:rPr lang="en-US"/>
              <a:t>kWh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557952654762087E-2"/>
          <c:y val="2.8633190677084128E-2"/>
          <c:w val="0.9247516170305301"/>
          <c:h val="0.84779908314168673"/>
        </c:manualLayout>
      </c:layout>
      <c:lineChart>
        <c:grouping val="standard"/>
        <c:varyColors val="1"/>
        <c:ser>
          <c:idx val="0"/>
          <c:order val="0"/>
          <c:tx>
            <c:strRef>
              <c:f>ιε_Τιμή_Αγοράς_kWh!$D$14</c:f>
              <c:strCache>
                <c:ptCount val="1"/>
                <c:pt idx="0">
                  <c:v>DPP έτη</c:v>
                </c:pt>
              </c:strCache>
            </c:strRef>
          </c:tx>
          <c:spPr>
            <a:ln w="28575">
              <a:solidFill>
                <a:srgbClr val="1F778B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1F778B"/>
              </a:solidFill>
              <a:ln w="28575">
                <a:solidFill>
                  <a:srgbClr val="1F778B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>
                    <a:solidFill>
                      <a:srgbClr val="3C4350"/>
                    </a:solidFill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ιε_Τιμή_Αγοράς_kWh!$A$15:$A$25</c:f>
              <c:numCache>
                <c:formatCode>0.00%</c:formatCode>
                <c:ptCount val="11"/>
                <c:pt idx="0">
                  <c:v>-0.5</c:v>
                </c:pt>
                <c:pt idx="1">
                  <c:v>-0.4</c:v>
                </c:pt>
                <c:pt idx="2">
                  <c:v>-0.3</c:v>
                </c:pt>
                <c:pt idx="3">
                  <c:v>-0.2</c:v>
                </c:pt>
                <c:pt idx="4">
                  <c:v>-0.1</c:v>
                </c:pt>
                <c:pt idx="5">
                  <c:v>0</c:v>
                </c:pt>
                <c:pt idx="6">
                  <c:v>0.1</c:v>
                </c:pt>
                <c:pt idx="7">
                  <c:v>0.2</c:v>
                </c:pt>
                <c:pt idx="8">
                  <c:v>0.3</c:v>
                </c:pt>
                <c:pt idx="9">
                  <c:v>0.4</c:v>
                </c:pt>
                <c:pt idx="10">
                  <c:v>0.5</c:v>
                </c:pt>
              </c:numCache>
            </c:numRef>
          </c:cat>
          <c:val>
            <c:numRef>
              <c:f>ιε_Τιμή_Αγοράς_kWh!$D$15:$D$25</c:f>
              <c:numCache>
                <c:formatCode>0.00</c:formatCode>
                <c:ptCount val="11"/>
                <c:pt idx="0">
                  <c:v>9.8743021523609311</c:v>
                </c:pt>
                <c:pt idx="1">
                  <c:v>9.0494585985869858</c:v>
                </c:pt>
                <c:pt idx="2">
                  <c:v>8.3543407751787431</c:v>
                </c:pt>
                <c:pt idx="3">
                  <c:v>7.7568587976439449</c:v>
                </c:pt>
                <c:pt idx="4">
                  <c:v>7.2395805028518607</c:v>
                </c:pt>
                <c:pt idx="5">
                  <c:v>6.7869833666614596</c:v>
                </c:pt>
                <c:pt idx="6">
                  <c:v>6.3885140511353127</c:v>
                </c:pt>
                <c:pt idx="7">
                  <c:v>6.031720141179302</c:v>
                </c:pt>
                <c:pt idx="8">
                  <c:v>5.7160670463140013</c:v>
                </c:pt>
                <c:pt idx="9">
                  <c:v>5.4308648542918805</c:v>
                </c:pt>
                <c:pt idx="10">
                  <c:v>5.1714465455725929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6AA-4214-A67F-1D5DED43DE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/>
                </a:pPr>
                <a:r>
                  <a:rPr lang="el-GR"/>
                  <a:t>Μεταβολή παραμέτρου</a:t>
                </a:r>
              </a:p>
            </c:rich>
          </c:tx>
          <c:overlay val="1"/>
        </c:title>
        <c:numFmt formatCode="0.00%" sourceLinked="1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el-GR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l"/>
        <c:majorGridlines>
          <c:spPr>
            <a:ln w="6350">
              <a:solidFill>
                <a:srgbClr val="E1E5EB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900"/>
                </a:pPr>
                <a:r>
                  <a:rPr lang="en-US"/>
                  <a:t>DPP (</a:t>
                </a:r>
                <a:r>
                  <a:rPr lang="el-GR"/>
                  <a:t>έτη)</a:t>
                </a:r>
              </a:p>
            </c:rich>
          </c:tx>
          <c:overlay val="1"/>
        </c:title>
        <c:numFmt formatCode="0.00" sourceLinked="1"/>
        <c:majorTickMark val="out"/>
        <c:minorTickMark val="none"/>
        <c:tickLblPos val="nextTo"/>
        <c:crossAx val="10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gap"/>
    <c:showDLblsOverMax val="1"/>
  </c:chart>
  <c:spPr>
    <a:solidFill>
      <a:srgbClr val="FFFFFF"/>
    </a:solidFill>
    <a:ln w="9525">
      <a:solidFill>
        <a:srgbClr val="D2D8E0"/>
      </a:solidFill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 sz="1300" b="1">
                <a:latin typeface="Arial" panose="020B0604020202020204" pitchFamily="34" charset="0"/>
              </a:defRPr>
            </a:pPr>
            <a:r>
              <a:rPr lang="el-GR"/>
              <a:t>Συντελεστής ευαισθησίας </a:t>
            </a:r>
            <a:r>
              <a:rPr lang="en-US"/>
              <a:t>DPP </a:t>
            </a:r>
            <a:r>
              <a:rPr lang="el-GR"/>
              <a:t>ως προς την τιμή αγοράς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6348425196850391E-2"/>
          <c:y val="9.1477999073645205E-2"/>
          <c:w val="0.92837379702537182"/>
          <c:h val="0.83144835572024078"/>
        </c:manualLayout>
      </c:layout>
      <c:lineChart>
        <c:grouping val="standard"/>
        <c:varyColors val="1"/>
        <c:ser>
          <c:idx val="0"/>
          <c:order val="0"/>
          <c:tx>
            <c:strRef>
              <c:f>ιε_Τιμή_Αγοράς_kWh!$A$14</c:f>
              <c:strCache>
                <c:ptCount val="1"/>
                <c:pt idx="0">
                  <c:v>Μεταβολή σεναρίου</c:v>
                </c:pt>
              </c:strCache>
            </c:strRef>
          </c:tx>
          <c:spPr>
            <a:ln w="28575">
              <a:solidFill>
                <a:srgbClr val="F59E0B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59E0B"/>
              </a:solidFill>
              <a:ln w="28575">
                <a:solidFill>
                  <a:srgbClr val="F59E0B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>
                    <a:solidFill>
                      <a:srgbClr val="3C4350"/>
                    </a:solidFill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ιε_Τιμή_Αγοράς_kWh!$A$15:$A$25</c:f>
              <c:numCache>
                <c:formatCode>0.00%</c:formatCode>
                <c:ptCount val="11"/>
                <c:pt idx="0">
                  <c:v>-0.5</c:v>
                </c:pt>
                <c:pt idx="1">
                  <c:v>-0.4</c:v>
                </c:pt>
                <c:pt idx="2">
                  <c:v>-0.3</c:v>
                </c:pt>
                <c:pt idx="3">
                  <c:v>-0.2</c:v>
                </c:pt>
                <c:pt idx="4">
                  <c:v>-0.1</c:v>
                </c:pt>
                <c:pt idx="5">
                  <c:v>0</c:v>
                </c:pt>
                <c:pt idx="6">
                  <c:v>0.1</c:v>
                </c:pt>
                <c:pt idx="7">
                  <c:v>0.2</c:v>
                </c:pt>
                <c:pt idx="8">
                  <c:v>0.3</c:v>
                </c:pt>
                <c:pt idx="9">
                  <c:v>0.4</c:v>
                </c:pt>
                <c:pt idx="10">
                  <c:v>0.5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2D1-4ADF-8BA5-55796F899BFE}"/>
            </c:ext>
          </c:extLst>
        </c:ser>
        <c:ser>
          <c:idx val="1"/>
          <c:order val="1"/>
          <c:tx>
            <c:strRef>
              <c:f>ιε_Τιμή_Αγοράς_kWh!$H$14</c:f>
              <c:strCache>
                <c:ptCount val="1"/>
                <c:pt idx="0">
                  <c:v>Ευαισθησία DPP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ιε_Τιμή_Αγοράς_kWh!$H$15:$H$25</c:f>
              <c:numCache>
                <c:formatCode>#,##0.00</c:formatCode>
                <c:ptCount val="11"/>
                <c:pt idx="0">
                  <c:v>-0.90977644084551013</c:v>
                </c:pt>
                <c:pt idx="1">
                  <c:v>-0.83338764429536383</c:v>
                </c:pt>
                <c:pt idx="2">
                  <c:v>-0.76978598779557161</c:v>
                </c:pt>
                <c:pt idx="3">
                  <c:v>-0.71451142472710216</c:v>
                </c:pt>
                <c:pt idx="4">
                  <c:v>-0.66686053543849255</c:v>
                </c:pt>
                <c:pt idx="5">
                  <c:v>#N/A</c:v>
                </c:pt>
                <c:pt idx="6">
                  <c:v>-0.58710813626489833</c:v>
                </c:pt>
                <c:pt idx="7">
                  <c:v>-0.55640568473477436</c:v>
                </c:pt>
                <c:pt idx="8">
                  <c:v>-0.5259657899501855</c:v>
                </c:pt>
                <c:pt idx="9">
                  <c:v>-0.49952918664535484</c:v>
                </c:pt>
                <c:pt idx="10">
                  <c:v>-0.47606918532454134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3A-4AAD-9590-16DC998EC12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l"/>
        <c:majorGridlines>
          <c:spPr>
            <a:ln w="6350">
              <a:solidFill>
                <a:srgbClr val="E1E5EB"/>
              </a:solidFill>
            </a:ln>
          </c:spPr>
        </c:majorGridlines>
        <c:numFmt formatCode="0.00%" sourceLinked="1"/>
        <c:majorTickMark val="out"/>
        <c:minorTickMark val="none"/>
        <c:tickLblPos val="nextTo"/>
        <c:crossAx val="10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gap"/>
    <c:showDLblsOverMax val="1"/>
  </c:chart>
  <c:spPr>
    <a:solidFill>
      <a:srgbClr val="FFFFFF"/>
    </a:solidFill>
    <a:ln w="9525">
      <a:solidFill>
        <a:srgbClr val="D2D8E0"/>
      </a:solidFill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 sz="1300" b="1">
                <a:latin typeface="Arial" panose="020B0604020202020204" pitchFamily="34" charset="0"/>
              </a:defRPr>
            </a:pPr>
            <a:r>
              <a:rPr lang="en-US"/>
              <a:t>DPP </a:t>
            </a:r>
            <a:r>
              <a:rPr lang="el-GR"/>
              <a:t>ανά μεταβολή ταυτοχρονισμού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3.4942528735632181E-2"/>
          <c:y val="0.12153092172795769"/>
          <c:w val="0.93221265272875375"/>
          <c:h val="0.80437517602888153"/>
        </c:manualLayout>
      </c:layout>
      <c:lineChart>
        <c:grouping val="standard"/>
        <c:varyColors val="0"/>
        <c:ser>
          <c:idx val="0"/>
          <c:order val="0"/>
          <c:tx>
            <c:v>DPP έτη</c:v>
          </c:tx>
          <c:spPr>
            <a:ln w="28575">
              <a:solidFill>
                <a:srgbClr val="1F778B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1F778B"/>
              </a:solidFill>
              <a:ln w="28575">
                <a:solidFill>
                  <a:srgbClr val="1F778B"/>
                </a:solidFill>
                <a:prstDash val="solid"/>
              </a:ln>
            </c:spPr>
          </c:marker>
          <c:dLbls>
            <c:spPr>
              <a:noFill/>
              <a:ln>
                <a:noFill/>
                <a:prstDash val="solid"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>
                    <a:solidFill>
                      <a:srgbClr val="3C4350"/>
                    </a:solidFill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η_Ευαισθησία_Ταυτοχρονισμού!$A$15:$A$25</c:f>
              <c:numCache>
                <c:formatCode>0.00%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cat>
          <c:val>
            <c:numRef>
              <c:f>η_Ευαισθησία_Ταυτοχρονισμού!$D$15:$D$25</c:f>
              <c:numCache>
                <c:formatCode>0.00</c:formatCode>
                <c:ptCount val="11"/>
                <c:pt idx="0">
                  <c:v>6.7869833666614614</c:v>
                </c:pt>
                <c:pt idx="1">
                  <c:v>6.6423308570570612</c:v>
                </c:pt>
                <c:pt idx="2">
                  <c:v>6.5033597424829033</c:v>
                </c:pt>
                <c:pt idx="3">
                  <c:v>6.3697417544364558</c:v>
                </c:pt>
                <c:pt idx="4">
                  <c:v>6.2411734361573368</c:v>
                </c:pt>
                <c:pt idx="5">
                  <c:v>6.1173738418981634</c:v>
                </c:pt>
                <c:pt idx="6">
                  <c:v>5.9981200858263737</c:v>
                </c:pt>
                <c:pt idx="7">
                  <c:v>5.8853505108922892</c:v>
                </c:pt>
                <c:pt idx="8">
                  <c:v>5.7765432216672652</c:v>
                </c:pt>
                <c:pt idx="9">
                  <c:v>5.6898101174019402</c:v>
                </c:pt>
                <c:pt idx="10">
                  <c:v>5.6294251010465626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04-4E7A-84CD-B04F57EEC2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majorGridlines>
          <c:spPr>
            <a:ln>
              <a:solidFill>
                <a:srgbClr val="E6E6E6"/>
              </a:solidFill>
            </a:ln>
          </c:spPr>
        </c:majorGridlines>
        <c:numFmt formatCode="0.00%" sourceLinked="1"/>
        <c:majorTickMark val="out"/>
        <c:minorTickMark val="none"/>
        <c:tickLblPos val="low"/>
        <c:spPr>
          <a:ln>
            <a:solidFill>
              <a:srgbClr val="788291"/>
            </a:solidFill>
          </a:ln>
        </c:spPr>
        <c:txPr>
          <a:bodyPr/>
          <a:lstStyle/>
          <a:p>
            <a:pPr>
              <a:defRPr sz="1100">
                <a:latin typeface="Arial"/>
                <a:ea typeface="Arial"/>
                <a:cs typeface="Arial"/>
              </a:defRPr>
            </a:pPr>
            <a:endParaRPr lang="el-GR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>
          <c:spPr>
            <a:ln w="6350">
              <a:solidFill>
                <a:srgbClr val="E1E5EB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900"/>
                </a:pPr>
                <a:r>
                  <a:rPr lang="en-US"/>
                  <a:t>DPP (</a:t>
                </a:r>
                <a:r>
                  <a:rPr lang="el-GR"/>
                  <a:t>έτη)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0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gap"/>
    <c:showDLblsOverMax val="1"/>
  </c:chart>
  <c:spPr>
    <a:solidFill>
      <a:srgbClr val="FFFFFF"/>
    </a:solidFill>
    <a:ln w="9525">
      <a:solidFill>
        <a:srgbClr val="D2D8E0"/>
      </a:solidFill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 rot="0" spcFirstLastPara="1" vertOverflow="ellipsis" vert="horz" wrap="square" anchor="ctr" anchorCtr="1"/>
          <a:lstStyle/>
          <a:p>
            <a:pPr>
              <a:defRPr sz="1300" b="1" i="0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r>
              <a:rPr lang="el-GR"/>
              <a:t>Συντελεστής ευαισθησίας </a:t>
            </a:r>
            <a:r>
              <a:rPr lang="en-US"/>
              <a:t>DPP </a:t>
            </a:r>
            <a:r>
              <a:rPr lang="el-GR"/>
              <a:t>ως προς τον ταυτοχρονισμό</a:t>
            </a:r>
          </a:p>
        </c:rich>
      </c:tx>
      <c:overlay val="0"/>
      <c:spPr>
        <a:noFill/>
        <a:ln>
          <a:noFill/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7.0738738431059892E-2"/>
          <c:y val="8.4784526965982154E-2"/>
          <c:w val="0.88106849701593815"/>
          <c:h val="0.8498365878867481"/>
        </c:manualLayout>
      </c:layout>
      <c:lineChart>
        <c:grouping val="standard"/>
        <c:varyColors val="0"/>
        <c:ser>
          <c:idx val="0"/>
          <c:order val="0"/>
          <c:tx>
            <c:v>Ευαισθησία DPP</c:v>
          </c:tx>
          <c:spPr>
            <a:ln w="28575">
              <a:solidFill>
                <a:srgbClr val="F59E0B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59E0B"/>
              </a:solidFill>
              <a:ln w="28575">
                <a:solidFill>
                  <a:srgbClr val="F59E0B"/>
                </a:solidFill>
                <a:prstDash val="solid"/>
              </a:ln>
            </c:spPr>
          </c:marker>
          <c:dLbls>
            <c:spPr>
              <a:noFill/>
              <a:ln>
                <a:noFill/>
                <a:prstDash val="solid"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>
                    <a:solidFill>
                      <a:srgbClr val="3C4350"/>
                    </a:solidFill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η_Ευαισθησία_Ταυτοχρονισμού!$A$16:$A$25</c:f>
              <c:numCache>
                <c:formatCode>0.00%</c:formatCode>
                <c:ptCount val="1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</c:numCache>
            </c:numRef>
          </c:cat>
          <c:val>
            <c:numRef>
              <c:f>η_Ευαισθησία_Ταυτοχρονισμού!$H$16:$H$25</c:f>
              <c:numCache>
                <c:formatCode>#,##0.00</c:formatCode>
                <c:ptCount val="10"/>
                <c:pt idx="0">
                  <c:v>-0.42626451779726232</c:v>
                </c:pt>
                <c:pt idx="1">
                  <c:v>-0.41789350121550789</c:v>
                </c:pt>
                <c:pt idx="2">
                  <c:v>-0.40984493373452624</c:v>
                </c:pt>
                <c:pt idx="3">
                  <c:v>-0.40210053643656529</c:v>
                </c:pt>
                <c:pt idx="4">
                  <c:v>-0.39464338636956492</c:v>
                </c:pt>
                <c:pt idx="5">
                  <c:v>-0.38743932722259955</c:v>
                </c:pt>
                <c:pt idx="6">
                  <c:v>-0.37956389966716442</c:v>
                </c:pt>
                <c:pt idx="7">
                  <c:v>-0.37219781249119016</c:v>
                </c:pt>
                <c:pt idx="8">
                  <c:v>-0.36644311775345184</c:v>
                </c:pt>
                <c:pt idx="9">
                  <c:v>-0.36248415902759867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B6-478E-B956-205B30F0F56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majorGridlines>
          <c:spPr>
            <a:ln>
              <a:solidFill>
                <a:srgbClr val="E6E6E6"/>
              </a:solidFill>
            </a:ln>
          </c:spPr>
        </c:majorGridlines>
        <c:numFmt formatCode="0.00%" sourceLinked="1"/>
        <c:majorTickMark val="out"/>
        <c:minorTickMark val="none"/>
        <c:tickLblPos val="low"/>
        <c:spPr>
          <a:noFill/>
          <a:ln w="12700" cap="flat" cmpd="sng" algn="ctr">
            <a:solidFill>
              <a:srgbClr val="788291"/>
            </a:solidFill>
            <a:prstDash val="solid"/>
            <a:round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100" b="0" i="0" strike="noStrike" kern="1200" baseline="0">
                <a:ln>
                  <a:noFill/>
                  <a:prstDash val="solid"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Arial"/>
                <a:ea typeface="Arial"/>
                <a:cs typeface="Arial"/>
              </a:defRPr>
            </a:pPr>
            <a:endParaRPr lang="el-GR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E1E5EB"/>
              </a:solidFill>
              <a:prstDash val="solid"/>
              <a:round/>
            </a:ln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Ευαισθησία</a:t>
                </a:r>
              </a:p>
            </c:rich>
          </c:tx>
          <c:overlay val="0"/>
          <c:spPr>
            <a:noFill/>
            <a:ln>
              <a:noFill/>
              <a:prstDash val="solid"/>
            </a:ln>
          </c:spPr>
        </c:title>
        <c:numFmt formatCode="0.00" sourceLinked="0"/>
        <c:majorTickMark val="out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100" b="0" i="0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/>
                <a:ea typeface="Arial"/>
                <a:cs typeface="Arial"/>
              </a:defRPr>
            </a:pPr>
            <a:endParaRPr lang="el-GR"/>
          </a:p>
        </c:txPr>
        <c:crossAx val="10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gap"/>
    <c:showDLblsOverMax val="1"/>
  </c:chart>
  <c:spPr>
    <a:solidFill>
      <a:srgbClr val="FFFFFF"/>
    </a:solidFill>
    <a:ln w="9525" cap="flat" cmpd="sng" algn="ctr">
      <a:solidFill>
        <a:srgbClr val="D2D8E0"/>
      </a:solidFill>
      <a:prstDash val="solid"/>
      <a:round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/>
            </a:pPr>
            <a:r>
              <a:rPr lang="en-US"/>
              <a:t>DPP </a:t>
            </a:r>
            <a:r>
              <a:rPr lang="el-GR"/>
              <a:t>ανά σενάριο μπαταρίας</a:t>
            </a:r>
          </a:p>
        </c:rich>
      </c:tx>
      <c:overlay val="0"/>
      <c:spPr>
        <a:noFill/>
        <a:ln>
          <a:noFill/>
          <a:prstDash val="solid"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ιγ_Αποτελέσματα_Σεναρίων!$A$4</c:f>
              <c:strCache>
                <c:ptCount val="1"/>
                <c:pt idx="0">
                  <c:v>Μπαταρία 2.5 kWh</c:v>
                </c:pt>
              </c:strCache>
            </c:strRef>
          </c:tx>
          <c:spPr>
            <a:solidFill>
              <a:schemeClr val="accent1"/>
            </a:solidFill>
            <a:ln>
              <a:noFill/>
              <a:prstDash val="solid"/>
            </a:ln>
          </c:spPr>
          <c:invertIfNegative val="0"/>
          <c:dLbls>
            <c:spPr>
              <a:noFill/>
              <a:ln>
                <a:noFill/>
                <a:prstDash val="solid"/>
              </a:ln>
            </c:spPr>
            <c:txPr>
              <a:bodyPr rot="-5400000" vert="horz"/>
              <a:lstStyle/>
              <a:p>
                <a:pPr>
                  <a:defRPr/>
                </a:pPr>
                <a:endParaRPr lang="el-G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"/>
              <c:pt idx="0">
                <c:v>DPP</c:v>
              </c:pt>
            </c:strLit>
          </c:cat>
          <c:val>
            <c:numRef>
              <c:f>ιγ_Αποτελέσματα_Σεναρίων!$X$4</c:f>
              <c:numCache>
                <c:formatCode>0.00</c:formatCode>
                <c:ptCount val="1"/>
                <c:pt idx="0">
                  <c:v>5.2406026895231541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4F-48C2-AC0A-B622E8F1D2E8}"/>
            </c:ext>
          </c:extLst>
        </c:ser>
        <c:ser>
          <c:idx val="1"/>
          <c:order val="1"/>
          <c:tx>
            <c:strRef>
              <c:f>ιγ_Αποτελέσματα_Σεναρίων!$A$5</c:f>
              <c:strCache>
                <c:ptCount val="1"/>
                <c:pt idx="0">
                  <c:v>Μπαταρία 5 kWh</c:v>
                </c:pt>
              </c:strCache>
            </c:strRef>
          </c:tx>
          <c:spPr>
            <a:solidFill>
              <a:schemeClr val="accent2"/>
            </a:solidFill>
            <a:ln>
              <a:noFill/>
              <a:prstDash val="solid"/>
            </a:ln>
          </c:spPr>
          <c:invertIfNegative val="0"/>
          <c:dLbls>
            <c:spPr>
              <a:noFill/>
              <a:ln>
                <a:noFill/>
                <a:prstDash val="solid"/>
              </a:ln>
            </c:spPr>
            <c:txPr>
              <a:bodyPr rot="-5400000" vert="horz"/>
              <a:lstStyle/>
              <a:p>
                <a:pPr>
                  <a:defRPr/>
                </a:pPr>
                <a:endParaRPr lang="el-G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"/>
              <c:pt idx="0">
                <c:v>DPP</c:v>
              </c:pt>
            </c:strLit>
          </c:cat>
          <c:val>
            <c:numRef>
              <c:f>ιγ_Αποτελέσματα_Σεναρίων!$X$5</c:f>
              <c:numCache>
                <c:formatCode>0.00</c:formatCode>
                <c:ptCount val="1"/>
                <c:pt idx="0">
                  <c:v>6.2483269036682989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4F-48C2-AC0A-B622E8F1D2E8}"/>
            </c:ext>
          </c:extLst>
        </c:ser>
        <c:ser>
          <c:idx val="2"/>
          <c:order val="2"/>
          <c:tx>
            <c:strRef>
              <c:f>ιγ_Αποτελέσματα_Σεναρίων!$A$6</c:f>
              <c:strCache>
                <c:ptCount val="1"/>
                <c:pt idx="0">
                  <c:v>Μπαταρία 7.5 kWh</c:v>
                </c:pt>
              </c:strCache>
            </c:strRef>
          </c:tx>
          <c:spPr>
            <a:solidFill>
              <a:schemeClr val="accent3"/>
            </a:solidFill>
            <a:ln>
              <a:noFill/>
              <a:prstDash val="solid"/>
            </a:ln>
          </c:spPr>
          <c:invertIfNegative val="0"/>
          <c:dLbls>
            <c:spPr>
              <a:noFill/>
              <a:ln>
                <a:noFill/>
                <a:prstDash val="solid"/>
              </a:ln>
            </c:spPr>
            <c:txPr>
              <a:bodyPr rot="-5400000" vert="horz"/>
              <a:lstStyle/>
              <a:p>
                <a:pPr>
                  <a:defRPr/>
                </a:pPr>
                <a:endParaRPr lang="el-G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"/>
              <c:pt idx="0">
                <c:v>DPP</c:v>
              </c:pt>
            </c:strLit>
          </c:cat>
          <c:val>
            <c:numRef>
              <c:f>ιγ_Αποτελέσματα_Σεναρίων!$X$6</c:f>
              <c:numCache>
                <c:formatCode>0.00</c:formatCode>
                <c:ptCount val="1"/>
                <c:pt idx="0">
                  <c:v>7.5087732722970095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4F-48C2-AC0A-B622E8F1D2E8}"/>
            </c:ext>
          </c:extLst>
        </c:ser>
        <c:ser>
          <c:idx val="3"/>
          <c:order val="3"/>
          <c:tx>
            <c:strRef>
              <c:f>ιγ_Αποτελέσματα_Σεναρίων!$A$7</c:f>
              <c:strCache>
                <c:ptCount val="1"/>
                <c:pt idx="0">
                  <c:v>Μπαταρία 10 kWh</c:v>
                </c:pt>
              </c:strCache>
            </c:strRef>
          </c:tx>
          <c:spPr>
            <a:solidFill>
              <a:schemeClr val="accent4"/>
            </a:solidFill>
            <a:ln>
              <a:noFill/>
              <a:prstDash val="solid"/>
            </a:ln>
          </c:spPr>
          <c:invertIfNegative val="0"/>
          <c:dLbls>
            <c:spPr>
              <a:noFill/>
              <a:ln>
                <a:noFill/>
                <a:prstDash val="solid"/>
              </a:ln>
            </c:spPr>
            <c:txPr>
              <a:bodyPr rot="-5400000" vert="horz"/>
              <a:lstStyle/>
              <a:p>
                <a:pPr>
                  <a:defRPr/>
                </a:pPr>
                <a:endParaRPr lang="el-G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"/>
              <c:pt idx="0">
                <c:v>DPP</c:v>
              </c:pt>
            </c:strLit>
          </c:cat>
          <c:val>
            <c:numRef>
              <c:f>ιγ_Αποτελέσματα_Σεναρίων!$X$7</c:f>
              <c:numCache>
                <c:formatCode>0.00</c:formatCode>
                <c:ptCount val="1"/>
                <c:pt idx="0">
                  <c:v>8.8648319850165311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74F-48C2-AC0A-B622E8F1D2E8}"/>
            </c:ext>
          </c:extLst>
        </c:ser>
        <c:ser>
          <c:idx val="4"/>
          <c:order val="4"/>
          <c:tx>
            <c:strRef>
              <c:f>ιγ_Αποτελέσματα_Σεναρίων!$A$8</c:f>
              <c:strCache>
                <c:ptCount val="1"/>
                <c:pt idx="0">
                  <c:v>Χωρίς μπαταρία</c:v>
                </c:pt>
              </c:strCache>
            </c:strRef>
          </c:tx>
          <c:spPr>
            <a:solidFill>
              <a:schemeClr val="accent5"/>
            </a:solidFill>
            <a:ln>
              <a:noFill/>
              <a:prstDash val="solid"/>
            </a:ln>
          </c:spPr>
          <c:invertIfNegative val="0"/>
          <c:dLbls>
            <c:spPr>
              <a:noFill/>
              <a:ln>
                <a:noFill/>
                <a:prstDash val="solid"/>
              </a:ln>
            </c:spPr>
            <c:txPr>
              <a:bodyPr rot="-5400000" vert="horz"/>
              <a:lstStyle/>
              <a:p>
                <a:pPr>
                  <a:defRPr/>
                </a:pPr>
                <a:endParaRPr lang="el-G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"/>
              <c:pt idx="0">
                <c:v>DPP</c:v>
              </c:pt>
            </c:strLit>
          </c:cat>
          <c:val>
            <c:numRef>
              <c:f>ιγ_Αποτελέσματα_Σεναρίων!$X$8</c:f>
              <c:numCache>
                <c:formatCode>0.00</c:formatCode>
                <c:ptCount val="1"/>
                <c:pt idx="0">
                  <c:v>5.2552735751662327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74F-48C2-AC0A-B622E8F1D2E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546059103"/>
        <c:axId val="1507339535"/>
      </c:barChart>
      <c:catAx>
        <c:axId val="1546059103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</c:spPr>
        </c:majorGridlines>
        <c:numFmt formatCode="General" sourceLinked="1"/>
        <c:majorTickMark val="out"/>
        <c:minorTickMark val="none"/>
        <c:tickLblPos val="nextTo"/>
        <c:crossAx val="1507339535"/>
        <c:crosses val="autoZero"/>
        <c:auto val="1"/>
        <c:lblAlgn val="ctr"/>
        <c:lblOffset val="100"/>
        <c:noMultiLvlLbl val="0"/>
      </c:catAx>
      <c:valAx>
        <c:axId val="1507339535"/>
        <c:scaling>
          <c:orientation val="minMax"/>
          <c:min val="0"/>
        </c:scaling>
        <c:delete val="0"/>
        <c:axPos val="l"/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prstDash val="solid"/>
            <a:round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1546059103"/>
        <c:crosses val="autoZero"/>
        <c:crossBetween val="between"/>
      </c:valAx>
    </c:plotArea>
    <c:legend>
      <c:legendPos val="t"/>
      <c:overlay val="0"/>
      <c:spPr>
        <a:noFill/>
        <a:ln>
          <a:noFill/>
          <a:prstDash val="solid"/>
        </a:ln>
      </c:spPr>
      <c:txPr>
        <a:bodyPr rot="0" vert="horz"/>
        <a:lstStyle/>
        <a:p>
          <a:pPr>
            <a:defRPr/>
          </a:pPr>
          <a:endParaRPr lang="el-GR"/>
        </a:p>
      </c:txPr>
    </c:legend>
    <c:plotVisOnly val="1"/>
    <c:dispBlanksAs val="gap"/>
    <c:showDLblsOverMax val="1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</c:spPr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l-GR"/>
              <a:t>Μηνιαίες ροές ενέργειας - Μπαταρία 10 </a:t>
            </a:r>
            <a:r>
              <a:rPr lang="en-US"/>
              <a:t>kWh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strRef>
              <c:f>σ_Σύνοψη_Μπαταρία_10!$F$4</c:f>
              <c:strCache>
                <c:ptCount val="1"/>
                <c:pt idx="0">
                  <c:v>Υπολειπόμενες / Περίσσεια (kWh)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σ_Σύνοψη_Μπαταρία_10!$A$5:$A$16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σ_Σύνοψη_Μπαταρία_10!$F$5:$F$16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82.62</c:v>
                </c:pt>
                <c:pt idx="4">
                  <c:v>194.39599999999996</c:v>
                </c:pt>
                <c:pt idx="5">
                  <c:v>168.15599999999995</c:v>
                </c:pt>
                <c:pt idx="6">
                  <c:v>74.388000000000034</c:v>
                </c:pt>
                <c:pt idx="7">
                  <c:v>41.519999999999982</c:v>
                </c:pt>
                <c:pt idx="8">
                  <c:v>114.404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16-4003-9A88-23CD36BE32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7045024"/>
        <c:axId val="1797033504"/>
      </c:barChart>
      <c:lineChart>
        <c:grouping val="standard"/>
        <c:varyColors val="0"/>
        <c:ser>
          <c:idx val="0"/>
          <c:order val="0"/>
          <c:tx>
            <c:strRef>
              <c:f>σ_Σύνοψη_Μπαταρία_10!$B$4</c:f>
              <c:strCache>
                <c:ptCount val="1"/>
                <c:pt idx="0">
                  <c:v>Παραγωγή ΦΒ kWh</c:v>
                </c:pt>
              </c:strCache>
            </c:strRef>
          </c:tx>
          <c:cat>
            <c:strRef>
              <c:f>σ_Σύνοψη_Μπαταρία_10!$A$5:$A$16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σ_Σύνοψη_Μπαταρία_10!$B$5:$B$16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532.62</c:v>
                </c:pt>
                <c:pt idx="4">
                  <c:v>594.39599999999996</c:v>
                </c:pt>
                <c:pt idx="5">
                  <c:v>618.15599999999995</c:v>
                </c:pt>
                <c:pt idx="6">
                  <c:v>674.38800000000003</c:v>
                </c:pt>
                <c:pt idx="7">
                  <c:v>641.52</c:v>
                </c:pt>
                <c:pt idx="8">
                  <c:v>514.404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6E-4755-8010-3CDC507F3A8E}"/>
            </c:ext>
          </c:extLst>
        </c:ser>
        <c:ser>
          <c:idx val="1"/>
          <c:order val="1"/>
          <c:tx>
            <c:strRef>
              <c:f>σ_Σύνοψη_Μπαταρία_10!$C$4</c:f>
              <c:strCache>
                <c:ptCount val="1"/>
                <c:pt idx="0">
                  <c:v>Κατανάλωση kWh</c:v>
                </c:pt>
              </c:strCache>
            </c:strRef>
          </c:tx>
          <c:cat>
            <c:strRef>
              <c:f>σ_Σύνοψη_Μπαταρία_10!$A$5:$A$16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σ_Σύνοψη_Μπαταρία_10!$C$5:$C$16</c:f>
              <c:numCache>
                <c:formatCode>#,##0.00</c:formatCode>
                <c:ptCount val="12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600</c:v>
                </c:pt>
                <c:pt idx="10">
                  <c:v>800</c:v>
                </c:pt>
                <c:pt idx="11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6E-4755-8010-3CDC507F3A8E}"/>
            </c:ext>
          </c:extLst>
        </c:ser>
        <c:ser>
          <c:idx val="2"/>
          <c:order val="2"/>
          <c:tx>
            <c:strRef>
              <c:f>σ_Σύνοψη_Μπαταρία_10!$D$4</c:f>
              <c:strCache>
                <c:ptCount val="1"/>
                <c:pt idx="0">
                  <c:v>Αυτοκατανάλωση από μπαταρία kWh</c:v>
                </c:pt>
              </c:strCache>
            </c:strRef>
          </c:tx>
          <c:cat>
            <c:strRef>
              <c:f>σ_Σύνοψη_Μπαταρία_10!$A$5:$A$16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σ_Σύνοψη_Μπαταρία_10!$D$5:$D$16</c:f>
              <c:numCache>
                <c:formatCode>#,##0.00</c:formatCode>
                <c:ptCount val="12"/>
                <c:pt idx="0">
                  <c:v>8.6800000000000068</c:v>
                </c:pt>
                <c:pt idx="1">
                  <c:v>0</c:v>
                </c:pt>
                <c:pt idx="2">
                  <c:v>0</c:v>
                </c:pt>
                <c:pt idx="3">
                  <c:v>135</c:v>
                </c:pt>
                <c:pt idx="4">
                  <c:v>120</c:v>
                </c:pt>
                <c:pt idx="5">
                  <c:v>135</c:v>
                </c:pt>
                <c:pt idx="6">
                  <c:v>180</c:v>
                </c:pt>
                <c:pt idx="7">
                  <c:v>180</c:v>
                </c:pt>
                <c:pt idx="8">
                  <c:v>160</c:v>
                </c:pt>
                <c:pt idx="9">
                  <c:v>81.839999999999975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66E-4755-8010-3CDC507F3A8E}"/>
            </c:ext>
          </c:extLst>
        </c:ser>
        <c:ser>
          <c:idx val="3"/>
          <c:order val="3"/>
          <c:tx>
            <c:strRef>
              <c:f>σ_Σύνοψη_Μπαταρία_10!$E$4</c:f>
              <c:strCache>
                <c:ptCount val="1"/>
                <c:pt idx="0">
                  <c:v>Συνολική αυτοκατανάλωση kWh</c:v>
                </c:pt>
              </c:strCache>
            </c:strRef>
          </c:tx>
          <c:cat>
            <c:strRef>
              <c:f>σ_Σύνοψη_Μπαταρία_10!$A$5:$A$16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σ_Σύνοψη_Μπαταρία_10!$E$5:$E$16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66E-4755-8010-3CDC507F3A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7045024"/>
        <c:axId val="1797033504"/>
      </c:lineChart>
      <c:catAx>
        <c:axId val="1797045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el-GR"/>
          </a:p>
        </c:txPr>
        <c:crossAx val="1797033504"/>
        <c:crosses val="autoZero"/>
        <c:auto val="1"/>
        <c:lblAlgn val="ctr"/>
        <c:lblOffset val="100"/>
        <c:noMultiLvlLbl val="0"/>
      </c:catAx>
      <c:valAx>
        <c:axId val="17970335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kWh</a:t>
                </a:r>
              </a:p>
            </c:rich>
          </c:tx>
          <c:overlay val="0"/>
        </c:title>
        <c:numFmt formatCode="#,##0.00" sourceLinked="1"/>
        <c:majorTickMark val="out"/>
        <c:minorTickMark val="none"/>
        <c:tickLblPos val="nextTo"/>
        <c:crossAx val="1797045024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ν_Απόδ_Μπαταρία_10!$O$7</c:f>
              <c:strCache>
                <c:ptCount val="1"/>
                <c:pt idx="0">
                  <c:v>Συνολικό Όφελος (euro)</c:v>
                </c:pt>
              </c:strCache>
            </c:strRef>
          </c:tx>
          <c:spPr>
            <a:solidFill>
              <a:schemeClr val="accent2"/>
            </a:solidFill>
            <a:ln>
              <a:noFill/>
              <a:prstDash val="solid"/>
            </a:ln>
          </c:spPr>
          <c:invertIfNegative val="0"/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ν_Απόδ_Μπαταρία_10!$A$8:$A$19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ν_Απόδ_Μπαταρία_10!$O$8:$O$19</c:f>
              <c:numCache>
                <c:formatCode>#,##0.00</c:formatCode>
                <c:ptCount val="12"/>
                <c:pt idx="0">
                  <c:v>65.736000000000004</c:v>
                </c:pt>
                <c:pt idx="1">
                  <c:v>68.983199999999997</c:v>
                </c:pt>
                <c:pt idx="2">
                  <c:v>92.980800000000002</c:v>
                </c:pt>
                <c:pt idx="3">
                  <c:v>94.9572</c:v>
                </c:pt>
                <c:pt idx="4">
                  <c:v>91.663759999999996</c:v>
                </c:pt>
                <c:pt idx="5">
                  <c:v>100.08936</c:v>
                </c:pt>
                <c:pt idx="6">
                  <c:v>124.46328</c:v>
                </c:pt>
                <c:pt idx="7">
                  <c:v>122.49119999999999</c:v>
                </c:pt>
                <c:pt idx="8">
                  <c:v>86.864239999999995</c:v>
                </c:pt>
                <c:pt idx="9">
                  <c:v>82.367999999999995</c:v>
                </c:pt>
                <c:pt idx="10">
                  <c:v>61.30080000000001</c:v>
                </c:pt>
                <c:pt idx="11">
                  <c:v>58.053599999999996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0C-49E4-A442-745EF5C59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5391263"/>
        <c:axId val="641901183"/>
      </c:barChart>
      <c:lineChart>
        <c:grouping val="standard"/>
        <c:varyColors val="0"/>
        <c:ser>
          <c:idx val="2"/>
          <c:order val="2"/>
          <c:tx>
            <c:strRef>
              <c:f>ν_Απόδ_Μπαταρία_10!$C$7</c:f>
              <c:strCache>
                <c:ptCount val="1"/>
                <c:pt idx="0">
                  <c:v>ΠΑΡΑΓΩΓΗ 
Total kWh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ν_Απόδ_Μπαταρία_10!$A$8:$A$19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ν_Απόδ_Μπαταρία_10!$C$8:$C$19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532.62</c:v>
                </c:pt>
                <c:pt idx="4">
                  <c:v>594.39599999999996</c:v>
                </c:pt>
                <c:pt idx="5">
                  <c:v>618.15599999999995</c:v>
                </c:pt>
                <c:pt idx="6">
                  <c:v>674.38800000000003</c:v>
                </c:pt>
                <c:pt idx="7">
                  <c:v>641.52</c:v>
                </c:pt>
                <c:pt idx="8">
                  <c:v>514.404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0C-49E4-A442-745EF5C59CEA}"/>
            </c:ext>
          </c:extLst>
        </c:ser>
        <c:ser>
          <c:idx val="3"/>
          <c:order val="1"/>
          <c:tx>
            <c:strRef>
              <c:f>ν_Απόδ_Μπαταρία_10!$D$7</c:f>
              <c:strCache>
                <c:ptCount val="1"/>
                <c:pt idx="0">
                  <c:v>Μηνιαία Κατανάλωση (kWh)</c:v>
                </c:pt>
              </c:strCache>
            </c:strRef>
          </c:tx>
          <c:spPr>
            <a:ln w="28575" cap="rnd">
              <a:solidFill>
                <a:schemeClr val="accent4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ν_Απόδ_Μπαταρία_10!$A$8:$A$19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ν_Απόδ_Μπαταρία_10!$D$8:$D$19</c:f>
              <c:numCache>
                <c:formatCode>#,##0.00</c:formatCode>
                <c:ptCount val="12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600</c:v>
                </c:pt>
                <c:pt idx="10">
                  <c:v>800</c:v>
                </c:pt>
                <c:pt idx="11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0C-49E4-A442-745EF5C59CEA}"/>
            </c:ext>
          </c:extLst>
        </c:ser>
        <c:ser>
          <c:idx val="4"/>
          <c:order val="3"/>
          <c:tx>
            <c:strRef>
              <c:f>ν_Απόδ_Μπαταρία_10!$K$7</c:f>
              <c:strCache>
                <c:ptCount val="1"/>
                <c:pt idx="0">
                  <c:v>Συνολική Αυτοκατανάλωση (kWh)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ν_Απόδ_Μπαταρία_10!$A$8:$A$19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ν_Απόδ_Μπαταρία_10!$K$8:$K$19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D0C-49E4-A442-745EF5C59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043023"/>
        <c:axId val="360044271"/>
      </c:lineChart>
      <c:catAx>
        <c:axId val="74539126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41901183"/>
        <c:crosses val="autoZero"/>
        <c:auto val="1"/>
        <c:lblAlgn val="ctr"/>
        <c:lblOffset val="100"/>
        <c:noMultiLvlLbl val="0"/>
      </c:catAx>
      <c:valAx>
        <c:axId val="641901183"/>
        <c:scaling>
          <c:orientation val="minMax"/>
          <c:max val="100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Euro</a:t>
                </a:r>
              </a:p>
            </c:rich>
          </c:tx>
          <c:overlay val="0"/>
          <c:spPr>
            <a:noFill/>
            <a:ln>
              <a:solidFill>
                <a:schemeClr val="accent3">
                  <a:lumMod val="50000"/>
                </a:schemeClr>
              </a:solidFill>
              <a:prstDash val="solid"/>
            </a:ln>
          </c:sp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745391263"/>
        <c:crosses val="max"/>
        <c:crossBetween val="between"/>
        <c:majorUnit val="250"/>
      </c:valAx>
      <c:catAx>
        <c:axId val="360043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360044271"/>
        <c:crosses val="autoZero"/>
        <c:auto val="1"/>
        <c:lblAlgn val="ctr"/>
        <c:lblOffset val="100"/>
        <c:noMultiLvlLbl val="0"/>
      </c:catAx>
      <c:valAx>
        <c:axId val="36004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kwh</a:t>
                </a:r>
              </a:p>
            </c:rich>
          </c:tx>
          <c:overlay val="0"/>
          <c:spPr>
            <a:noFill/>
            <a:ln>
              <a:noFill/>
              <a:prstDash val="solid"/>
            </a:ln>
          </c:sp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360043023"/>
        <c:crosses val="autoZero"/>
        <c:crossBetween val="between"/>
      </c:valAx>
    </c:plotArea>
    <c:legend>
      <c:legendPos val="b"/>
      <c:overlay val="0"/>
      <c:spPr>
        <a:noFill/>
        <a:ln>
          <a:noFill/>
          <a:prstDash val="solid"/>
        </a:ln>
      </c:spPr>
      <c:txPr>
        <a:bodyPr rot="0" vert="horz"/>
        <a:lstStyle/>
        <a:p>
          <a:pPr>
            <a:defRPr/>
          </a:pPr>
          <a:endParaRPr lang="el-GR"/>
        </a:p>
      </c:txPr>
    </c:legend>
    <c:plotVisOnly val="1"/>
    <c:dispBlanksAs val="gap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</c:spPr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l-GR"/>
              <a:t>Μηνιαίες ροές ενέργειας - Μπαταρία 7.5 </a:t>
            </a:r>
            <a:r>
              <a:rPr lang="en-US"/>
              <a:t>kWh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strRef>
              <c:f>ρ_Σύνοψη_Μπαταρία_7_5!$F$4</c:f>
              <c:strCache>
                <c:ptCount val="1"/>
                <c:pt idx="0">
                  <c:v>Υπολειπόμενες / Περίσσεια (kWh)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ρ_Σύνοψη_Μπαταρία_7_5!$A$5:$A$16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ρ_Σύνοψη_Μπαταρία_7_5!$F$5:$F$16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82.62</c:v>
                </c:pt>
                <c:pt idx="4">
                  <c:v>194.39599999999996</c:v>
                </c:pt>
                <c:pt idx="5">
                  <c:v>168.15599999999995</c:v>
                </c:pt>
                <c:pt idx="6">
                  <c:v>74.388000000000034</c:v>
                </c:pt>
                <c:pt idx="7">
                  <c:v>41.519999999999982</c:v>
                </c:pt>
                <c:pt idx="8">
                  <c:v>114.404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D2-40DE-9B54-2DC1928047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8731040"/>
        <c:axId val="1798729600"/>
      </c:barChart>
      <c:lineChart>
        <c:grouping val="standard"/>
        <c:varyColors val="0"/>
        <c:ser>
          <c:idx val="0"/>
          <c:order val="0"/>
          <c:tx>
            <c:strRef>
              <c:f>ρ_Σύνοψη_Μπαταρία_7_5!$B$4</c:f>
              <c:strCache>
                <c:ptCount val="1"/>
                <c:pt idx="0">
                  <c:v>Παραγωγή ΦΒ kWh</c:v>
                </c:pt>
              </c:strCache>
            </c:strRef>
          </c:tx>
          <c:cat>
            <c:strRef>
              <c:f>ρ_Σύνοψη_Μπαταρία_7_5!$A$5:$A$16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ρ_Σύνοψη_Μπαταρία_7_5!$B$5:$B$16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532.62</c:v>
                </c:pt>
                <c:pt idx="4">
                  <c:v>594.39599999999996</c:v>
                </c:pt>
                <c:pt idx="5">
                  <c:v>618.15599999999995</c:v>
                </c:pt>
                <c:pt idx="6">
                  <c:v>674.38800000000003</c:v>
                </c:pt>
                <c:pt idx="7">
                  <c:v>641.52</c:v>
                </c:pt>
                <c:pt idx="8">
                  <c:v>514.404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BA-4800-8AF7-3A57FD1BA1BA}"/>
            </c:ext>
          </c:extLst>
        </c:ser>
        <c:ser>
          <c:idx val="1"/>
          <c:order val="1"/>
          <c:tx>
            <c:strRef>
              <c:f>ρ_Σύνοψη_Μπαταρία_7_5!$C$4</c:f>
              <c:strCache>
                <c:ptCount val="1"/>
                <c:pt idx="0">
                  <c:v>Κατανάλωση kWh</c:v>
                </c:pt>
              </c:strCache>
            </c:strRef>
          </c:tx>
          <c:cat>
            <c:strRef>
              <c:f>ρ_Σύνοψη_Μπαταρία_7_5!$A$5:$A$16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ρ_Σύνοψη_Μπαταρία_7_5!$C$5:$C$16</c:f>
              <c:numCache>
                <c:formatCode>#,##0.00</c:formatCode>
                <c:ptCount val="12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600</c:v>
                </c:pt>
                <c:pt idx="10">
                  <c:v>800</c:v>
                </c:pt>
                <c:pt idx="11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1BA-4800-8AF7-3A57FD1BA1BA}"/>
            </c:ext>
          </c:extLst>
        </c:ser>
        <c:ser>
          <c:idx val="2"/>
          <c:order val="2"/>
          <c:tx>
            <c:strRef>
              <c:f>ρ_Σύνοψη_Μπαταρία_7_5!$D$4</c:f>
              <c:strCache>
                <c:ptCount val="1"/>
                <c:pt idx="0">
                  <c:v>Αυτοκατανάλωση από μπαταρία kWh</c:v>
                </c:pt>
              </c:strCache>
            </c:strRef>
          </c:tx>
          <c:cat>
            <c:strRef>
              <c:f>ρ_Σύνοψη_Μπαταρία_7_5!$A$5:$A$16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ρ_Σύνοψη_Μπαταρία_7_5!$D$5:$D$16</c:f>
              <c:numCache>
                <c:formatCode>#,##0.00</c:formatCode>
                <c:ptCount val="12"/>
                <c:pt idx="0">
                  <c:v>8.6800000000000068</c:v>
                </c:pt>
                <c:pt idx="1">
                  <c:v>0</c:v>
                </c:pt>
                <c:pt idx="2">
                  <c:v>0</c:v>
                </c:pt>
                <c:pt idx="3">
                  <c:v>135</c:v>
                </c:pt>
                <c:pt idx="4">
                  <c:v>120</c:v>
                </c:pt>
                <c:pt idx="5">
                  <c:v>135</c:v>
                </c:pt>
                <c:pt idx="6">
                  <c:v>180</c:v>
                </c:pt>
                <c:pt idx="7">
                  <c:v>180</c:v>
                </c:pt>
                <c:pt idx="8">
                  <c:v>160</c:v>
                </c:pt>
                <c:pt idx="9">
                  <c:v>81.839999999999975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1BA-4800-8AF7-3A57FD1BA1BA}"/>
            </c:ext>
          </c:extLst>
        </c:ser>
        <c:ser>
          <c:idx val="3"/>
          <c:order val="3"/>
          <c:tx>
            <c:strRef>
              <c:f>ρ_Σύνοψη_Μπαταρία_7_5!$E$4</c:f>
              <c:strCache>
                <c:ptCount val="1"/>
                <c:pt idx="0">
                  <c:v>Συνολική αυτοκατανάλωση kWh</c:v>
                </c:pt>
              </c:strCache>
            </c:strRef>
          </c:tx>
          <c:cat>
            <c:strRef>
              <c:f>ρ_Σύνοψη_Μπαταρία_7_5!$A$5:$A$16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ρ_Σύνοψη_Μπαταρία_7_5!$E$5:$E$16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1BA-4800-8AF7-3A57FD1BA1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8731040"/>
        <c:axId val="1798729600"/>
      </c:lineChart>
      <c:catAx>
        <c:axId val="1798731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el-GR"/>
          </a:p>
        </c:txPr>
        <c:crossAx val="1798729600"/>
        <c:crosses val="autoZero"/>
        <c:auto val="1"/>
        <c:lblAlgn val="ctr"/>
        <c:lblOffset val="100"/>
        <c:noMultiLvlLbl val="0"/>
      </c:catAx>
      <c:valAx>
        <c:axId val="17987296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kWh</a:t>
                </a:r>
              </a:p>
            </c:rich>
          </c:tx>
          <c:overlay val="0"/>
        </c:title>
        <c:numFmt formatCode="#,##0.00" sourceLinked="1"/>
        <c:majorTickMark val="out"/>
        <c:minorTickMark val="none"/>
        <c:tickLblPos val="nextTo"/>
        <c:crossAx val="1798731040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μ_Απόδ_Μπαταρία_7_5!$O$7</c:f>
              <c:strCache>
                <c:ptCount val="1"/>
                <c:pt idx="0">
                  <c:v>Συνολικό Όφελος (euro)</c:v>
                </c:pt>
              </c:strCache>
            </c:strRef>
          </c:tx>
          <c:spPr>
            <a:solidFill>
              <a:schemeClr val="accent2"/>
            </a:solidFill>
            <a:ln>
              <a:noFill/>
              <a:prstDash val="solid"/>
            </a:ln>
          </c:spPr>
          <c:invertIfNegative val="0"/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μ_Απόδ_Μπαταρία_7_5!$A$8:$A$19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μ_Απόδ_Μπαταρία_7_5!$O$8:$O$19</c:f>
              <c:numCache>
                <c:formatCode>#,##0.00</c:formatCode>
                <c:ptCount val="12"/>
                <c:pt idx="0">
                  <c:v>65.736000000000004</c:v>
                </c:pt>
                <c:pt idx="1">
                  <c:v>68.983199999999997</c:v>
                </c:pt>
                <c:pt idx="2">
                  <c:v>92.980800000000002</c:v>
                </c:pt>
                <c:pt idx="3">
                  <c:v>94.9572</c:v>
                </c:pt>
                <c:pt idx="4">
                  <c:v>91.663759999999996</c:v>
                </c:pt>
                <c:pt idx="5">
                  <c:v>100.08936</c:v>
                </c:pt>
                <c:pt idx="6">
                  <c:v>124.46328</c:v>
                </c:pt>
                <c:pt idx="7">
                  <c:v>122.49119999999999</c:v>
                </c:pt>
                <c:pt idx="8">
                  <c:v>86.864239999999995</c:v>
                </c:pt>
                <c:pt idx="9">
                  <c:v>82.367999999999995</c:v>
                </c:pt>
                <c:pt idx="10">
                  <c:v>61.30080000000001</c:v>
                </c:pt>
                <c:pt idx="11">
                  <c:v>58.053599999999996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86-4257-865A-5D216D2CEA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5391263"/>
        <c:axId val="641901183"/>
      </c:barChart>
      <c:lineChart>
        <c:grouping val="standard"/>
        <c:varyColors val="0"/>
        <c:ser>
          <c:idx val="2"/>
          <c:order val="2"/>
          <c:tx>
            <c:strRef>
              <c:f>μ_Απόδ_Μπαταρία_7_5!$C$7</c:f>
              <c:strCache>
                <c:ptCount val="1"/>
                <c:pt idx="0">
                  <c:v>ΠΑΡΑΓΩΓΗ 
Total kWh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μ_Απόδ_Μπαταρία_7_5!$A$8:$A$19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μ_Απόδ_Μπαταρία_7_5!$C$8:$C$19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532.62</c:v>
                </c:pt>
                <c:pt idx="4">
                  <c:v>594.39599999999996</c:v>
                </c:pt>
                <c:pt idx="5">
                  <c:v>618.15599999999995</c:v>
                </c:pt>
                <c:pt idx="6">
                  <c:v>674.38800000000003</c:v>
                </c:pt>
                <c:pt idx="7">
                  <c:v>641.52</c:v>
                </c:pt>
                <c:pt idx="8">
                  <c:v>514.404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86-4257-865A-5D216D2CEAB1}"/>
            </c:ext>
          </c:extLst>
        </c:ser>
        <c:ser>
          <c:idx val="3"/>
          <c:order val="1"/>
          <c:tx>
            <c:strRef>
              <c:f>μ_Απόδ_Μπαταρία_7_5!$D$7</c:f>
              <c:strCache>
                <c:ptCount val="1"/>
                <c:pt idx="0">
                  <c:v>Μηνιαία Κατανάλωση (kWh)</c:v>
                </c:pt>
              </c:strCache>
            </c:strRef>
          </c:tx>
          <c:spPr>
            <a:ln w="28575" cap="rnd">
              <a:solidFill>
                <a:schemeClr val="accent4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μ_Απόδ_Μπαταρία_7_5!$A$8:$A$19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μ_Απόδ_Μπαταρία_7_5!$D$8:$D$19</c:f>
              <c:numCache>
                <c:formatCode>#,##0.00</c:formatCode>
                <c:ptCount val="12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600</c:v>
                </c:pt>
                <c:pt idx="10">
                  <c:v>800</c:v>
                </c:pt>
                <c:pt idx="11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586-4257-865A-5D216D2CEAB1}"/>
            </c:ext>
          </c:extLst>
        </c:ser>
        <c:ser>
          <c:idx val="4"/>
          <c:order val="3"/>
          <c:tx>
            <c:strRef>
              <c:f>μ_Απόδ_Μπαταρία_7_5!$K$7</c:f>
              <c:strCache>
                <c:ptCount val="1"/>
                <c:pt idx="0">
                  <c:v>Συνολική Αυτοκατανάλωση (kWh)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μ_Απόδ_Μπαταρία_7_5!$A$8:$A$19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μ_Απόδ_Μπαταρία_7_5!$K$8:$K$19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586-4257-865A-5D216D2CEA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043023"/>
        <c:axId val="360044271"/>
      </c:lineChart>
      <c:catAx>
        <c:axId val="74539126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41901183"/>
        <c:crosses val="autoZero"/>
        <c:auto val="1"/>
        <c:lblAlgn val="ctr"/>
        <c:lblOffset val="100"/>
        <c:noMultiLvlLbl val="0"/>
      </c:catAx>
      <c:valAx>
        <c:axId val="641901183"/>
        <c:scaling>
          <c:orientation val="minMax"/>
          <c:max val="100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Euro</a:t>
                </a:r>
              </a:p>
            </c:rich>
          </c:tx>
          <c:overlay val="0"/>
          <c:spPr>
            <a:noFill/>
            <a:ln>
              <a:solidFill>
                <a:schemeClr val="accent3">
                  <a:lumMod val="50000"/>
                </a:schemeClr>
              </a:solidFill>
              <a:prstDash val="solid"/>
            </a:ln>
          </c:sp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745391263"/>
        <c:crosses val="max"/>
        <c:crossBetween val="between"/>
        <c:majorUnit val="250"/>
      </c:valAx>
      <c:catAx>
        <c:axId val="360043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360044271"/>
        <c:crosses val="autoZero"/>
        <c:auto val="1"/>
        <c:lblAlgn val="ctr"/>
        <c:lblOffset val="100"/>
        <c:noMultiLvlLbl val="0"/>
      </c:catAx>
      <c:valAx>
        <c:axId val="36004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kwh</a:t>
                </a:r>
              </a:p>
            </c:rich>
          </c:tx>
          <c:overlay val="0"/>
          <c:spPr>
            <a:noFill/>
            <a:ln>
              <a:noFill/>
              <a:prstDash val="solid"/>
            </a:ln>
          </c:sp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360043023"/>
        <c:crosses val="autoZero"/>
        <c:crossBetween val="between"/>
      </c:valAx>
    </c:plotArea>
    <c:legend>
      <c:legendPos val="b"/>
      <c:overlay val="0"/>
      <c:spPr>
        <a:noFill/>
        <a:ln>
          <a:noFill/>
          <a:prstDash val="solid"/>
        </a:ln>
      </c:spPr>
      <c:txPr>
        <a:bodyPr rot="0" vert="horz"/>
        <a:lstStyle/>
        <a:p>
          <a:pPr>
            <a:defRPr/>
          </a:pPr>
          <a:endParaRPr lang="el-GR"/>
        </a:p>
      </c:txPr>
    </c:legend>
    <c:plotVisOnly val="1"/>
    <c:dispBlanksAs val="gap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</c:spPr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l-GR"/>
              <a:t>Μηνιαίες ροές ενέργειας - Μπαταρία 5 </a:t>
            </a:r>
            <a:r>
              <a:rPr lang="en-US"/>
              <a:t>kWh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strRef>
              <c:f>π_Σύνοψη_Μπαταρία_5!$F$4</c:f>
              <c:strCache>
                <c:ptCount val="1"/>
                <c:pt idx="0">
                  <c:v>Υπολειπόμενες / Περίσσεια (kWh)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π_Σύνοψη_Μπαταρία_5!$A$5:$A$16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π_Σύνοψη_Μπαταρία_5!$F$5:$F$16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82.62</c:v>
                </c:pt>
                <c:pt idx="4">
                  <c:v>194.39599999999996</c:v>
                </c:pt>
                <c:pt idx="5">
                  <c:v>168.15599999999995</c:v>
                </c:pt>
                <c:pt idx="6">
                  <c:v>104.38800000000003</c:v>
                </c:pt>
                <c:pt idx="7">
                  <c:v>71.519999999999982</c:v>
                </c:pt>
                <c:pt idx="8">
                  <c:v>124.404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EE-4145-9A16-AEF317770B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62665392"/>
        <c:axId val="1762672112"/>
      </c:barChart>
      <c:lineChart>
        <c:grouping val="standard"/>
        <c:varyColors val="0"/>
        <c:ser>
          <c:idx val="0"/>
          <c:order val="0"/>
          <c:tx>
            <c:strRef>
              <c:f>π_Σύνοψη_Μπαταρία_5!$B$4</c:f>
              <c:strCache>
                <c:ptCount val="1"/>
                <c:pt idx="0">
                  <c:v>Παραγωγή ΦΒ kWh</c:v>
                </c:pt>
              </c:strCache>
            </c:strRef>
          </c:tx>
          <c:cat>
            <c:strRef>
              <c:f>π_Σύνοψη_Μπαταρία_5!$A$5:$A$16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π_Σύνοψη_Μπαταρία_5!$B$5:$B$16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532.62</c:v>
                </c:pt>
                <c:pt idx="4">
                  <c:v>594.39599999999996</c:v>
                </c:pt>
                <c:pt idx="5">
                  <c:v>618.15599999999995</c:v>
                </c:pt>
                <c:pt idx="6">
                  <c:v>674.38800000000003</c:v>
                </c:pt>
                <c:pt idx="7">
                  <c:v>641.52</c:v>
                </c:pt>
                <c:pt idx="8">
                  <c:v>514.404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C0-425D-AE8D-5313B3FD40E9}"/>
            </c:ext>
          </c:extLst>
        </c:ser>
        <c:ser>
          <c:idx val="1"/>
          <c:order val="1"/>
          <c:tx>
            <c:strRef>
              <c:f>π_Σύνοψη_Μπαταρία_5!$C$4</c:f>
              <c:strCache>
                <c:ptCount val="1"/>
                <c:pt idx="0">
                  <c:v>Κατανάλωση kWh</c:v>
                </c:pt>
              </c:strCache>
            </c:strRef>
          </c:tx>
          <c:cat>
            <c:strRef>
              <c:f>π_Σύνοψη_Μπαταρία_5!$A$5:$A$16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π_Σύνοψη_Μπαταρία_5!$C$5:$C$16</c:f>
              <c:numCache>
                <c:formatCode>#,##0.00</c:formatCode>
                <c:ptCount val="12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600</c:v>
                </c:pt>
                <c:pt idx="10">
                  <c:v>800</c:v>
                </c:pt>
                <c:pt idx="11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AC0-425D-AE8D-5313B3FD40E9}"/>
            </c:ext>
          </c:extLst>
        </c:ser>
        <c:ser>
          <c:idx val="2"/>
          <c:order val="2"/>
          <c:tx>
            <c:strRef>
              <c:f>π_Σύνοψη_Μπαταρία_5!$D$4</c:f>
              <c:strCache>
                <c:ptCount val="1"/>
                <c:pt idx="0">
                  <c:v>Αυτοκατανάλωση από μπαταρία kWh</c:v>
                </c:pt>
              </c:strCache>
            </c:strRef>
          </c:tx>
          <c:cat>
            <c:strRef>
              <c:f>π_Σύνοψη_Μπαταρία_5!$A$5:$A$16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π_Σύνοψη_Μπαταρία_5!$D$5:$D$16</c:f>
              <c:numCache>
                <c:formatCode>#,##0.00</c:formatCode>
                <c:ptCount val="12"/>
                <c:pt idx="0">
                  <c:v>8.6800000000000068</c:v>
                </c:pt>
                <c:pt idx="1">
                  <c:v>0</c:v>
                </c:pt>
                <c:pt idx="2">
                  <c:v>0</c:v>
                </c:pt>
                <c:pt idx="3">
                  <c:v>135</c:v>
                </c:pt>
                <c:pt idx="4">
                  <c:v>120</c:v>
                </c:pt>
                <c:pt idx="5">
                  <c:v>135</c:v>
                </c:pt>
                <c:pt idx="6">
                  <c:v>150</c:v>
                </c:pt>
                <c:pt idx="7">
                  <c:v>150</c:v>
                </c:pt>
                <c:pt idx="8">
                  <c:v>150</c:v>
                </c:pt>
                <c:pt idx="9">
                  <c:v>81.839999999999975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AC0-425D-AE8D-5313B3FD40E9}"/>
            </c:ext>
          </c:extLst>
        </c:ser>
        <c:ser>
          <c:idx val="3"/>
          <c:order val="3"/>
          <c:tx>
            <c:strRef>
              <c:f>π_Σύνοψη_Μπαταρία_5!$E$4</c:f>
              <c:strCache>
                <c:ptCount val="1"/>
                <c:pt idx="0">
                  <c:v>Συνολική αυτοκατανάλωση kWh</c:v>
                </c:pt>
              </c:strCache>
            </c:strRef>
          </c:tx>
          <c:cat>
            <c:strRef>
              <c:f>π_Σύνοψη_Μπαταρία_5!$A$5:$A$16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π_Σύνοψη_Μπαταρία_5!$E$5:$E$16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570</c:v>
                </c:pt>
                <c:pt idx="7">
                  <c:v>570</c:v>
                </c:pt>
                <c:pt idx="8">
                  <c:v>390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AC0-425D-AE8D-5313B3FD40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2665392"/>
        <c:axId val="1762672112"/>
      </c:lineChart>
      <c:catAx>
        <c:axId val="1762665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el-GR"/>
          </a:p>
        </c:txPr>
        <c:crossAx val="1762672112"/>
        <c:crosses val="autoZero"/>
        <c:auto val="1"/>
        <c:lblAlgn val="ctr"/>
        <c:lblOffset val="100"/>
        <c:noMultiLvlLbl val="0"/>
      </c:catAx>
      <c:valAx>
        <c:axId val="17626721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kWh</a:t>
                </a:r>
              </a:p>
            </c:rich>
          </c:tx>
          <c:overlay val="0"/>
        </c:title>
        <c:numFmt formatCode="#,##0.00" sourceLinked="1"/>
        <c:majorTickMark val="out"/>
        <c:minorTickMark val="none"/>
        <c:tickLblPos val="nextTo"/>
        <c:crossAx val="176266539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λ_Απόδ_Μπαταρία_5!$O$7</c:f>
              <c:strCache>
                <c:ptCount val="1"/>
                <c:pt idx="0">
                  <c:v>Συνολικό Όφελος (euro)</c:v>
                </c:pt>
              </c:strCache>
            </c:strRef>
          </c:tx>
          <c:spPr>
            <a:solidFill>
              <a:schemeClr val="accent2"/>
            </a:solidFill>
            <a:ln>
              <a:noFill/>
              <a:prstDash val="solid"/>
            </a:ln>
          </c:spPr>
          <c:invertIfNegative val="0"/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λ_Απόδ_Μπαταρία_5!$A$8:$A$19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λ_Απόδ_Μπαταρία_5!$O$8:$O$19</c:f>
              <c:numCache>
                <c:formatCode>#,##0.00</c:formatCode>
                <c:ptCount val="12"/>
                <c:pt idx="0">
                  <c:v>65.736000000000004</c:v>
                </c:pt>
                <c:pt idx="1">
                  <c:v>68.983199999999997</c:v>
                </c:pt>
                <c:pt idx="2">
                  <c:v>92.980800000000002</c:v>
                </c:pt>
                <c:pt idx="3">
                  <c:v>94.9572</c:v>
                </c:pt>
                <c:pt idx="4">
                  <c:v>91.663759999999996</c:v>
                </c:pt>
                <c:pt idx="5">
                  <c:v>100.08936</c:v>
                </c:pt>
                <c:pt idx="6">
                  <c:v>120.26328000000001</c:v>
                </c:pt>
                <c:pt idx="7">
                  <c:v>118.2912</c:v>
                </c:pt>
                <c:pt idx="8">
                  <c:v>85.464240000000004</c:v>
                </c:pt>
                <c:pt idx="9">
                  <c:v>82.367999999999995</c:v>
                </c:pt>
                <c:pt idx="10">
                  <c:v>61.30080000000001</c:v>
                </c:pt>
                <c:pt idx="11">
                  <c:v>58.053599999999996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CE-415C-AB46-8F8B59E845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5391263"/>
        <c:axId val="641901183"/>
      </c:barChart>
      <c:lineChart>
        <c:grouping val="standard"/>
        <c:varyColors val="0"/>
        <c:ser>
          <c:idx val="2"/>
          <c:order val="2"/>
          <c:tx>
            <c:strRef>
              <c:f>λ_Απόδ_Μπαταρία_5!$C$7</c:f>
              <c:strCache>
                <c:ptCount val="1"/>
                <c:pt idx="0">
                  <c:v>ΠΑΡΑΓΩΓΗ 
Total kWh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λ_Απόδ_Μπαταρία_5!$A$8:$A$19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λ_Απόδ_Μπαταρία_5!$C$8:$C$19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532.62</c:v>
                </c:pt>
                <c:pt idx="4">
                  <c:v>594.39599999999996</c:v>
                </c:pt>
                <c:pt idx="5">
                  <c:v>618.15599999999995</c:v>
                </c:pt>
                <c:pt idx="6">
                  <c:v>674.38800000000003</c:v>
                </c:pt>
                <c:pt idx="7">
                  <c:v>641.52</c:v>
                </c:pt>
                <c:pt idx="8">
                  <c:v>514.404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CE-415C-AB46-8F8B59E84523}"/>
            </c:ext>
          </c:extLst>
        </c:ser>
        <c:ser>
          <c:idx val="3"/>
          <c:order val="1"/>
          <c:tx>
            <c:strRef>
              <c:f>λ_Απόδ_Μπαταρία_5!$D$7</c:f>
              <c:strCache>
                <c:ptCount val="1"/>
                <c:pt idx="0">
                  <c:v>Μηνιαία Κατανάλωση (kWh)</c:v>
                </c:pt>
              </c:strCache>
            </c:strRef>
          </c:tx>
          <c:spPr>
            <a:ln w="28575" cap="rnd">
              <a:solidFill>
                <a:schemeClr val="accent4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λ_Απόδ_Μπαταρία_5!$A$8:$A$19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λ_Απόδ_Μπαταρία_5!$D$8:$D$19</c:f>
              <c:numCache>
                <c:formatCode>#,##0.00</c:formatCode>
                <c:ptCount val="12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600</c:v>
                </c:pt>
                <c:pt idx="10">
                  <c:v>800</c:v>
                </c:pt>
                <c:pt idx="11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CE-415C-AB46-8F8B59E84523}"/>
            </c:ext>
          </c:extLst>
        </c:ser>
        <c:ser>
          <c:idx val="4"/>
          <c:order val="3"/>
          <c:tx>
            <c:strRef>
              <c:f>λ_Απόδ_Μπαταρία_5!$K$7</c:f>
              <c:strCache>
                <c:ptCount val="1"/>
                <c:pt idx="0">
                  <c:v>Συνολική Αυτοκατανάλωση (kWh)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λ_Απόδ_Μπαταρία_5!$A$8:$A$19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λ_Απόδ_Μπαταρία_5!$K$8:$K$19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570</c:v>
                </c:pt>
                <c:pt idx="7">
                  <c:v>570</c:v>
                </c:pt>
                <c:pt idx="8">
                  <c:v>390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4CE-415C-AB46-8F8B59E845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043023"/>
        <c:axId val="360044271"/>
      </c:lineChart>
      <c:catAx>
        <c:axId val="74539126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41901183"/>
        <c:crosses val="autoZero"/>
        <c:auto val="1"/>
        <c:lblAlgn val="ctr"/>
        <c:lblOffset val="100"/>
        <c:noMultiLvlLbl val="0"/>
      </c:catAx>
      <c:valAx>
        <c:axId val="641901183"/>
        <c:scaling>
          <c:orientation val="minMax"/>
          <c:max val="100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Euro</a:t>
                </a:r>
              </a:p>
            </c:rich>
          </c:tx>
          <c:overlay val="0"/>
          <c:spPr>
            <a:noFill/>
            <a:ln>
              <a:solidFill>
                <a:schemeClr val="accent3">
                  <a:lumMod val="50000"/>
                </a:schemeClr>
              </a:solidFill>
              <a:prstDash val="solid"/>
            </a:ln>
          </c:sp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745391263"/>
        <c:crosses val="max"/>
        <c:crossBetween val="between"/>
        <c:majorUnit val="250"/>
      </c:valAx>
      <c:catAx>
        <c:axId val="360043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360044271"/>
        <c:crosses val="autoZero"/>
        <c:auto val="1"/>
        <c:lblAlgn val="ctr"/>
        <c:lblOffset val="100"/>
        <c:noMultiLvlLbl val="0"/>
      </c:catAx>
      <c:valAx>
        <c:axId val="36004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kwh</a:t>
                </a:r>
              </a:p>
            </c:rich>
          </c:tx>
          <c:overlay val="0"/>
          <c:spPr>
            <a:noFill/>
            <a:ln>
              <a:noFill/>
              <a:prstDash val="solid"/>
            </a:ln>
          </c:sp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360043023"/>
        <c:crosses val="autoZero"/>
        <c:crossBetween val="between"/>
      </c:valAx>
    </c:plotArea>
    <c:legend>
      <c:legendPos val="b"/>
      <c:overlay val="0"/>
      <c:spPr>
        <a:noFill/>
        <a:ln>
          <a:noFill/>
          <a:prstDash val="solid"/>
        </a:ln>
      </c:spPr>
      <c:txPr>
        <a:bodyPr rot="0" vert="horz"/>
        <a:lstStyle/>
        <a:p>
          <a:pPr>
            <a:defRPr/>
          </a:pPr>
          <a:endParaRPr lang="el-GR"/>
        </a:p>
      </c:txPr>
    </c:legend>
    <c:plotVisOnly val="1"/>
    <c:dispBlanksAs val="gap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</c:spPr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l-GR"/>
              <a:t>Μηνιαίες ροές ενέργειας - Μπαταρία 2.5 </a:t>
            </a:r>
            <a:r>
              <a:rPr lang="en-US"/>
              <a:t>kWh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strRef>
              <c:f>ο_Σύνοψη_Μπαταρία_2_5!$F$4</c:f>
              <c:strCache>
                <c:ptCount val="1"/>
                <c:pt idx="0">
                  <c:v>Υπολειπόμενες / Περίσσεια (kWh)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ο_Σύνοψη_Μπαταρία_2_5!$A$5:$A$16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ο_Σύνοψη_Μπαταρία_2_5!$F$5:$F$16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142.62</c:v>
                </c:pt>
                <c:pt idx="4">
                  <c:v>239.39599999999996</c:v>
                </c:pt>
                <c:pt idx="5">
                  <c:v>228.15599999999995</c:v>
                </c:pt>
                <c:pt idx="6">
                  <c:v>179.38800000000003</c:v>
                </c:pt>
                <c:pt idx="7">
                  <c:v>146.51999999999998</c:v>
                </c:pt>
                <c:pt idx="8">
                  <c:v>199.404</c:v>
                </c:pt>
                <c:pt idx="9">
                  <c:v>6.839999999999975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D7-4D34-855D-AD9094A22D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46707168"/>
        <c:axId val="1746703808"/>
      </c:barChart>
      <c:lineChart>
        <c:grouping val="standard"/>
        <c:varyColors val="0"/>
        <c:ser>
          <c:idx val="0"/>
          <c:order val="0"/>
          <c:tx>
            <c:strRef>
              <c:f>ο_Σύνοψη_Μπαταρία_2_5!$B$4</c:f>
              <c:strCache>
                <c:ptCount val="1"/>
                <c:pt idx="0">
                  <c:v>Παραγωγή ΦΒ kWh</c:v>
                </c:pt>
              </c:strCache>
            </c:strRef>
          </c:tx>
          <c:cat>
            <c:strRef>
              <c:f>ο_Σύνοψη_Μπαταρία_2_5!$A$5:$A$16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ο_Σύνοψη_Μπαταρία_2_5!$B$5:$B$16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532.62</c:v>
                </c:pt>
                <c:pt idx="4">
                  <c:v>594.39599999999996</c:v>
                </c:pt>
                <c:pt idx="5">
                  <c:v>618.15599999999995</c:v>
                </c:pt>
                <c:pt idx="6">
                  <c:v>674.38800000000003</c:v>
                </c:pt>
                <c:pt idx="7">
                  <c:v>641.52</c:v>
                </c:pt>
                <c:pt idx="8">
                  <c:v>514.404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F2-4F81-8F33-B659E9E0703D}"/>
            </c:ext>
          </c:extLst>
        </c:ser>
        <c:ser>
          <c:idx val="1"/>
          <c:order val="1"/>
          <c:tx>
            <c:strRef>
              <c:f>ο_Σύνοψη_Μπαταρία_2_5!$C$4</c:f>
              <c:strCache>
                <c:ptCount val="1"/>
                <c:pt idx="0">
                  <c:v>Κατανάλωση kWh</c:v>
                </c:pt>
              </c:strCache>
            </c:strRef>
          </c:tx>
          <c:cat>
            <c:strRef>
              <c:f>ο_Σύνοψη_Μπαταρία_2_5!$A$5:$A$16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ο_Σύνοψη_Μπαταρία_2_5!$C$5:$C$16</c:f>
              <c:numCache>
                <c:formatCode>#,##0.00</c:formatCode>
                <c:ptCount val="12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600</c:v>
                </c:pt>
                <c:pt idx="10">
                  <c:v>800</c:v>
                </c:pt>
                <c:pt idx="11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5F2-4F81-8F33-B659E9E0703D}"/>
            </c:ext>
          </c:extLst>
        </c:ser>
        <c:ser>
          <c:idx val="2"/>
          <c:order val="2"/>
          <c:tx>
            <c:strRef>
              <c:f>ο_Σύνοψη_Μπαταρία_2_5!$D$4</c:f>
              <c:strCache>
                <c:ptCount val="1"/>
                <c:pt idx="0">
                  <c:v>Αυτοκατανάλωση από μπαταρία kWh</c:v>
                </c:pt>
              </c:strCache>
            </c:strRef>
          </c:tx>
          <c:cat>
            <c:strRef>
              <c:f>ο_Σύνοψη_Μπαταρία_2_5!$A$5:$A$16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ο_Σύνοψη_Μπαταρία_2_5!$D$5:$D$16</c:f>
              <c:numCache>
                <c:formatCode>#,##0.00</c:formatCode>
                <c:ptCount val="12"/>
                <c:pt idx="0">
                  <c:v>8.6800000000000068</c:v>
                </c:pt>
                <c:pt idx="1">
                  <c:v>0</c:v>
                </c:pt>
                <c:pt idx="2">
                  <c:v>0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5F2-4F81-8F33-B659E9E0703D}"/>
            </c:ext>
          </c:extLst>
        </c:ser>
        <c:ser>
          <c:idx val="3"/>
          <c:order val="3"/>
          <c:tx>
            <c:strRef>
              <c:f>ο_Σύνοψη_Μπαταρία_2_5!$E$4</c:f>
              <c:strCache>
                <c:ptCount val="1"/>
                <c:pt idx="0">
                  <c:v>Συνολική αυτοκατανάλωση kWh</c:v>
                </c:pt>
              </c:strCache>
            </c:strRef>
          </c:tx>
          <c:cat>
            <c:strRef>
              <c:f>ο_Σύνοψη_Μπαταρία_2_5!$A$5:$A$16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ο_Σύνοψη_Μπαταρία_2_5!$E$5:$E$16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390</c:v>
                </c:pt>
                <c:pt idx="4">
                  <c:v>355</c:v>
                </c:pt>
                <c:pt idx="5">
                  <c:v>390</c:v>
                </c:pt>
                <c:pt idx="6">
                  <c:v>495</c:v>
                </c:pt>
                <c:pt idx="7">
                  <c:v>495</c:v>
                </c:pt>
                <c:pt idx="8">
                  <c:v>315</c:v>
                </c:pt>
                <c:pt idx="9">
                  <c:v>405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5F2-4F81-8F33-B659E9E070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6707168"/>
        <c:axId val="1746703808"/>
      </c:lineChart>
      <c:catAx>
        <c:axId val="1746707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el-GR"/>
          </a:p>
        </c:txPr>
        <c:crossAx val="1746703808"/>
        <c:crosses val="autoZero"/>
        <c:auto val="1"/>
        <c:lblAlgn val="ctr"/>
        <c:lblOffset val="100"/>
        <c:noMultiLvlLbl val="0"/>
      </c:catAx>
      <c:valAx>
        <c:axId val="17467038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kWh</a:t>
                </a:r>
              </a:p>
            </c:rich>
          </c:tx>
          <c:overlay val="0"/>
        </c:title>
        <c:numFmt formatCode="#,##0.00" sourceLinked="1"/>
        <c:majorTickMark val="out"/>
        <c:minorTickMark val="none"/>
        <c:tickLblPos val="nextTo"/>
        <c:crossAx val="1746707168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κ_Απόδ_Μπαταρία_2_5!$O$7</c:f>
              <c:strCache>
                <c:ptCount val="1"/>
                <c:pt idx="0">
                  <c:v>Συνολικό Όφελος (euro)</c:v>
                </c:pt>
              </c:strCache>
            </c:strRef>
          </c:tx>
          <c:spPr>
            <a:solidFill>
              <a:schemeClr val="accent2"/>
            </a:solidFill>
            <a:ln>
              <a:noFill/>
              <a:prstDash val="solid"/>
            </a:ln>
          </c:spPr>
          <c:invertIfNegative val="0"/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κ_Απόδ_Μπαταρία_2_5!$A$8:$A$19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κ_Απόδ_Μπαταρία_2_5!$O$8:$O$19</c:f>
              <c:numCache>
                <c:formatCode>#,##0.00</c:formatCode>
                <c:ptCount val="12"/>
                <c:pt idx="0">
                  <c:v>65.736000000000004</c:v>
                </c:pt>
                <c:pt idx="1">
                  <c:v>68.983199999999997</c:v>
                </c:pt>
                <c:pt idx="2">
                  <c:v>92.980800000000002</c:v>
                </c:pt>
                <c:pt idx="3">
                  <c:v>86.557199999999995</c:v>
                </c:pt>
                <c:pt idx="4">
                  <c:v>85.363759999999999</c:v>
                </c:pt>
                <c:pt idx="5">
                  <c:v>91.689359999999994</c:v>
                </c:pt>
                <c:pt idx="6">
                  <c:v>109.76328000000001</c:v>
                </c:pt>
                <c:pt idx="7">
                  <c:v>107.7912</c:v>
                </c:pt>
                <c:pt idx="8">
                  <c:v>74.964240000000004</c:v>
                </c:pt>
                <c:pt idx="9">
                  <c:v>81.410399999999996</c:v>
                </c:pt>
                <c:pt idx="10">
                  <c:v>61.30080000000001</c:v>
                </c:pt>
                <c:pt idx="11">
                  <c:v>58.053599999999996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AE-4080-A718-DB8E70D03A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5391263"/>
        <c:axId val="641901183"/>
      </c:barChart>
      <c:lineChart>
        <c:grouping val="standard"/>
        <c:varyColors val="0"/>
        <c:ser>
          <c:idx val="2"/>
          <c:order val="2"/>
          <c:tx>
            <c:strRef>
              <c:f>κ_Απόδ_Μπαταρία_2_5!$C$7</c:f>
              <c:strCache>
                <c:ptCount val="1"/>
                <c:pt idx="0">
                  <c:v>ΠΑΡΑΓΩΓΗ 
Total kWh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κ_Απόδ_Μπαταρία_2_5!$A$8:$A$19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κ_Απόδ_Μπαταρία_2_5!$C$8:$C$19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532.62</c:v>
                </c:pt>
                <c:pt idx="4">
                  <c:v>594.39599999999996</c:v>
                </c:pt>
                <c:pt idx="5">
                  <c:v>618.15599999999995</c:v>
                </c:pt>
                <c:pt idx="6">
                  <c:v>674.38800000000003</c:v>
                </c:pt>
                <c:pt idx="7">
                  <c:v>641.52</c:v>
                </c:pt>
                <c:pt idx="8">
                  <c:v>514.404</c:v>
                </c:pt>
                <c:pt idx="9">
                  <c:v>411.84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AE-4080-A718-DB8E70D03A7D}"/>
            </c:ext>
          </c:extLst>
        </c:ser>
        <c:ser>
          <c:idx val="3"/>
          <c:order val="1"/>
          <c:tx>
            <c:strRef>
              <c:f>κ_Απόδ_Μπαταρία_2_5!$D$7</c:f>
              <c:strCache>
                <c:ptCount val="1"/>
                <c:pt idx="0">
                  <c:v>Μηνιαία Κατανάλωση (kWh)</c:v>
                </c:pt>
              </c:strCache>
            </c:strRef>
          </c:tx>
          <c:spPr>
            <a:ln w="28575" cap="rnd">
              <a:solidFill>
                <a:schemeClr val="accent4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κ_Απόδ_Μπαταρία_2_5!$A$8:$A$19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κ_Απόδ_Μπαταρία_2_5!$D$8:$D$19</c:f>
              <c:numCache>
                <c:formatCode>#,##0.00</c:formatCode>
                <c:ptCount val="12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600</c:v>
                </c:pt>
                <c:pt idx="10">
                  <c:v>800</c:v>
                </c:pt>
                <c:pt idx="11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AE-4080-A718-DB8E70D03A7D}"/>
            </c:ext>
          </c:extLst>
        </c:ser>
        <c:ser>
          <c:idx val="4"/>
          <c:order val="3"/>
          <c:tx>
            <c:strRef>
              <c:f>κ_Απόδ_Μπαταρία_2_5!$K$7</c:f>
              <c:strCache>
                <c:ptCount val="1"/>
                <c:pt idx="0">
                  <c:v>Συνολική Αυτοκατανάλωση (kWh)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κ_Απόδ_Μπαταρία_2_5!$A$8:$A$19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κ_Απόδ_Μπαταρία_2_5!$K$8:$K$19</c:f>
              <c:numCache>
                <c:formatCode>#,##0.00</c:formatCode>
                <c:ptCount val="12"/>
                <c:pt idx="0">
                  <c:v>328.68</c:v>
                </c:pt>
                <c:pt idx="1">
                  <c:v>344.916</c:v>
                </c:pt>
                <c:pt idx="2">
                  <c:v>464.904</c:v>
                </c:pt>
                <c:pt idx="3">
                  <c:v>390</c:v>
                </c:pt>
                <c:pt idx="4">
                  <c:v>355</c:v>
                </c:pt>
                <c:pt idx="5">
                  <c:v>390</c:v>
                </c:pt>
                <c:pt idx="6">
                  <c:v>495</c:v>
                </c:pt>
                <c:pt idx="7">
                  <c:v>495</c:v>
                </c:pt>
                <c:pt idx="8">
                  <c:v>315</c:v>
                </c:pt>
                <c:pt idx="9">
                  <c:v>405</c:v>
                </c:pt>
                <c:pt idx="10">
                  <c:v>306.50400000000002</c:v>
                </c:pt>
                <c:pt idx="11">
                  <c:v>290.26799999999997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4AE-4080-A718-DB8E70D03A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043023"/>
        <c:axId val="360044271"/>
      </c:lineChart>
      <c:catAx>
        <c:axId val="74539126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41901183"/>
        <c:crosses val="autoZero"/>
        <c:auto val="1"/>
        <c:lblAlgn val="ctr"/>
        <c:lblOffset val="100"/>
        <c:noMultiLvlLbl val="0"/>
      </c:catAx>
      <c:valAx>
        <c:axId val="641901183"/>
        <c:scaling>
          <c:orientation val="minMax"/>
          <c:max val="100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Euro</a:t>
                </a:r>
              </a:p>
            </c:rich>
          </c:tx>
          <c:overlay val="0"/>
          <c:spPr>
            <a:noFill/>
            <a:ln>
              <a:solidFill>
                <a:schemeClr val="accent3">
                  <a:lumMod val="50000"/>
                </a:schemeClr>
              </a:solidFill>
              <a:prstDash val="solid"/>
            </a:ln>
          </c:sp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745391263"/>
        <c:crosses val="max"/>
        <c:crossBetween val="between"/>
        <c:majorUnit val="250"/>
      </c:valAx>
      <c:catAx>
        <c:axId val="360043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360044271"/>
        <c:crosses val="autoZero"/>
        <c:auto val="1"/>
        <c:lblAlgn val="ctr"/>
        <c:lblOffset val="100"/>
        <c:noMultiLvlLbl val="0"/>
      </c:catAx>
      <c:valAx>
        <c:axId val="36004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kwh</a:t>
                </a:r>
              </a:p>
            </c:rich>
          </c:tx>
          <c:overlay val="0"/>
          <c:spPr>
            <a:noFill/>
            <a:ln>
              <a:noFill/>
              <a:prstDash val="solid"/>
            </a:ln>
          </c:sp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360043023"/>
        <c:crosses val="autoZero"/>
        <c:crossBetween val="between"/>
      </c:valAx>
    </c:plotArea>
    <c:legend>
      <c:legendPos val="b"/>
      <c:overlay val="0"/>
      <c:spPr>
        <a:noFill/>
        <a:ln>
          <a:noFill/>
          <a:prstDash val="solid"/>
        </a:ln>
      </c:spPr>
      <c:txPr>
        <a:bodyPr rot="0" vert="horz"/>
        <a:lstStyle/>
        <a:p>
          <a:pPr>
            <a:defRPr/>
          </a:pPr>
          <a:endParaRPr lang="el-GR"/>
        </a:p>
      </c:txPr>
    </c:legend>
    <c:plotVisOnly val="1"/>
    <c:dispBlanksAs val="gap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</c:spPr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l-GR"/>
              <a:t>Μηνιαίες ροές ενέργειας - Χωρίς μπαταρία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strRef>
              <c:f>ξ_Σύνοψη_Μηδενικό!$F$4</c:f>
              <c:strCache>
                <c:ptCount val="1"/>
                <c:pt idx="0">
                  <c:v>Περίσσεια ΦΒ (kWh)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ξ_Σύνοψη_Μηδενικό!$A$5:$A$16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ξ_Σύνοψη_Μηδενικό!$F$5:$F$16</c:f>
              <c:numCache>
                <c:formatCode>#,##0.00</c:formatCode>
                <c:ptCount val="12"/>
                <c:pt idx="0">
                  <c:v>173.01999999999998</c:v>
                </c:pt>
                <c:pt idx="1">
                  <c:v>117.37399999999991</c:v>
                </c:pt>
                <c:pt idx="2">
                  <c:v>217.35599999999999</c:v>
                </c:pt>
                <c:pt idx="3">
                  <c:v>483.92999999999995</c:v>
                </c:pt>
                <c:pt idx="4">
                  <c:v>611.59400000000005</c:v>
                </c:pt>
                <c:pt idx="5">
                  <c:v>612.23400000000004</c:v>
                </c:pt>
                <c:pt idx="6">
                  <c:v>591.58200000000011</c:v>
                </c:pt>
                <c:pt idx="7">
                  <c:v>542.28</c:v>
                </c:pt>
                <c:pt idx="8">
                  <c:v>531.60599999999999</c:v>
                </c:pt>
                <c:pt idx="9">
                  <c:v>287.76</c:v>
                </c:pt>
                <c:pt idx="10">
                  <c:v>59.756000000000085</c:v>
                </c:pt>
                <c:pt idx="11">
                  <c:v>115.40199999999999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2C-4A70-A771-3522AD422C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6071184"/>
        <c:axId val="1286069264"/>
      </c:barChart>
      <c:lineChart>
        <c:grouping val="standard"/>
        <c:varyColors val="0"/>
        <c:ser>
          <c:idx val="0"/>
          <c:order val="0"/>
          <c:tx>
            <c:strRef>
              <c:f>ξ_Σύνοψη_Μηδενικό!$B$4</c:f>
              <c:strCache>
                <c:ptCount val="1"/>
                <c:pt idx="0">
                  <c:v>Παραγωγή ΦΒ kWh</c:v>
                </c:pt>
              </c:strCache>
            </c:strRef>
          </c:tx>
          <c:cat>
            <c:strRef>
              <c:f>ξ_Σύνοψη_Μηδενικό!$A$5:$A$16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ξ_Σύνοψη_Μηδενικό!$B$5:$B$16</c:f>
              <c:numCache>
                <c:formatCode>#,##0.00</c:formatCode>
                <c:ptCount val="12"/>
                <c:pt idx="0">
                  <c:v>493.02</c:v>
                </c:pt>
                <c:pt idx="1">
                  <c:v>517.37399999999991</c:v>
                </c:pt>
                <c:pt idx="2">
                  <c:v>697.35599999999999</c:v>
                </c:pt>
                <c:pt idx="3">
                  <c:v>798.93</c:v>
                </c:pt>
                <c:pt idx="4">
                  <c:v>891.59400000000005</c:v>
                </c:pt>
                <c:pt idx="5">
                  <c:v>927.23400000000004</c:v>
                </c:pt>
                <c:pt idx="6">
                  <c:v>1011.5820000000001</c:v>
                </c:pt>
                <c:pt idx="7">
                  <c:v>962.28</c:v>
                </c:pt>
                <c:pt idx="8">
                  <c:v>771.60599999999999</c:v>
                </c:pt>
                <c:pt idx="9">
                  <c:v>617.76</c:v>
                </c:pt>
                <c:pt idx="10">
                  <c:v>459.75600000000009</c:v>
                </c:pt>
                <c:pt idx="11">
                  <c:v>435.40199999999999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00-47BC-A88A-A4678F70ABA4}"/>
            </c:ext>
          </c:extLst>
        </c:ser>
        <c:ser>
          <c:idx val="1"/>
          <c:order val="1"/>
          <c:tx>
            <c:strRef>
              <c:f>ξ_Σύνοψη_Μηδενικό!$C$4</c:f>
              <c:strCache>
                <c:ptCount val="1"/>
                <c:pt idx="0">
                  <c:v>Κατανάλωση kWh</c:v>
                </c:pt>
              </c:strCache>
            </c:strRef>
          </c:tx>
          <c:cat>
            <c:strRef>
              <c:f>ξ_Σύνοψη_Μηδενικό!$A$5:$A$16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ξ_Σύνοψη_Μηδενικό!$C$5:$C$16</c:f>
              <c:numCache>
                <c:formatCode>#,##0.00</c:formatCode>
                <c:ptCount val="12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600</c:v>
                </c:pt>
                <c:pt idx="10">
                  <c:v>800</c:v>
                </c:pt>
                <c:pt idx="11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000-47BC-A88A-A4678F70ABA4}"/>
            </c:ext>
          </c:extLst>
        </c:ser>
        <c:ser>
          <c:idx val="2"/>
          <c:order val="2"/>
          <c:tx>
            <c:strRef>
              <c:f>ξ_Σύνοψη_Μηδενικό!$D$4</c:f>
              <c:strCache>
                <c:ptCount val="1"/>
                <c:pt idx="0">
                  <c:v>Αυτοκατανάλωση από μπαταρία kWh</c:v>
                </c:pt>
              </c:strCache>
            </c:strRef>
          </c:tx>
          <c:cat>
            <c:strRef>
              <c:f>ξ_Σύνοψη_Μηδενικό!$A$5:$A$16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ξ_Σύνοψη_Μηδενικό!$D$5:$D$16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000-47BC-A88A-A4678F70ABA4}"/>
            </c:ext>
          </c:extLst>
        </c:ser>
        <c:ser>
          <c:idx val="3"/>
          <c:order val="3"/>
          <c:tx>
            <c:strRef>
              <c:f>ξ_Σύνοψη_Μηδενικό!$E$4</c:f>
              <c:strCache>
                <c:ptCount val="1"/>
                <c:pt idx="0">
                  <c:v>Συνολική αυτοκατανάλωση kWh</c:v>
                </c:pt>
              </c:strCache>
            </c:strRef>
          </c:tx>
          <c:cat>
            <c:strRef>
              <c:f>ξ_Σύνοψη_Μηδενικό!$A$5:$A$16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ξ_Σύνοψη_Μηδενικό!$E$5:$E$16</c:f>
              <c:numCache>
                <c:formatCode>#,##0.00</c:formatCode>
                <c:ptCount val="12"/>
                <c:pt idx="0">
                  <c:v>320</c:v>
                </c:pt>
                <c:pt idx="1">
                  <c:v>400</c:v>
                </c:pt>
                <c:pt idx="2">
                  <c:v>480</c:v>
                </c:pt>
                <c:pt idx="3">
                  <c:v>315</c:v>
                </c:pt>
                <c:pt idx="4">
                  <c:v>280</c:v>
                </c:pt>
                <c:pt idx="5">
                  <c:v>315</c:v>
                </c:pt>
                <c:pt idx="6">
                  <c:v>420</c:v>
                </c:pt>
                <c:pt idx="7">
                  <c:v>420</c:v>
                </c:pt>
                <c:pt idx="8">
                  <c:v>240</c:v>
                </c:pt>
                <c:pt idx="9">
                  <c:v>330</c:v>
                </c:pt>
                <c:pt idx="10">
                  <c:v>400</c:v>
                </c:pt>
                <c:pt idx="11">
                  <c:v>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000-47BC-A88A-A4678F70AB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6071184"/>
        <c:axId val="1286069264"/>
      </c:lineChart>
      <c:catAx>
        <c:axId val="1286071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el-GR"/>
          </a:p>
        </c:txPr>
        <c:crossAx val="1286069264"/>
        <c:crosses val="autoZero"/>
        <c:auto val="1"/>
        <c:lblAlgn val="ctr"/>
        <c:lblOffset val="100"/>
        <c:noMultiLvlLbl val="0"/>
      </c:catAx>
      <c:valAx>
        <c:axId val="12860692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kWh</a:t>
                </a:r>
              </a:p>
            </c:rich>
          </c:tx>
          <c:overlay val="0"/>
        </c:title>
        <c:numFmt formatCode="#,##0.00" sourceLinked="1"/>
        <c:majorTickMark val="out"/>
        <c:minorTickMark val="none"/>
        <c:tickLblPos val="nextTo"/>
        <c:crossAx val="1286071184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κ_Μηδενικό_Σενάριο!$O$7</c:f>
              <c:strCache>
                <c:ptCount val="1"/>
                <c:pt idx="0">
                  <c:v>Συνολικό Όφελος (euro)</c:v>
                </c:pt>
              </c:strCache>
            </c:strRef>
          </c:tx>
          <c:spPr>
            <a:solidFill>
              <a:schemeClr val="accent2"/>
            </a:solidFill>
            <a:ln>
              <a:noFill/>
              <a:prstDash val="solid"/>
            </a:ln>
          </c:spPr>
          <c:invertIfNegative val="0"/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κ_Μηδενικό_Σενάριο!$A$8:$A$19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κ_Μηδενικό_Σενάριο!$O$8:$O$19</c:f>
              <c:numCache>
                <c:formatCode>#,##0.00</c:formatCode>
                <c:ptCount val="12"/>
                <c:pt idx="0">
                  <c:v>74.381199999999993</c:v>
                </c:pt>
                <c:pt idx="1">
                  <c:v>87.042439999999999</c:v>
                </c:pt>
                <c:pt idx="2">
                  <c:v>109.04136</c:v>
                </c:pt>
                <c:pt idx="3">
                  <c:v>92.035799999999995</c:v>
                </c:pt>
                <c:pt idx="4">
                  <c:v>92.695639999999997</c:v>
                </c:pt>
                <c:pt idx="5">
                  <c:v>99.734039999999993</c:v>
                </c:pt>
                <c:pt idx="6">
                  <c:v>119.49492000000001</c:v>
                </c:pt>
                <c:pt idx="7">
                  <c:v>116.5368</c:v>
                </c:pt>
                <c:pt idx="8">
                  <c:v>79.896360000000001</c:v>
                </c:pt>
                <c:pt idx="9">
                  <c:v>83.265600000000006</c:v>
                </c:pt>
                <c:pt idx="10">
                  <c:v>83.585360000000009</c:v>
                </c:pt>
                <c:pt idx="11">
                  <c:v>70.924120000000002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90-4719-9D07-E330B467B8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5391263"/>
        <c:axId val="641901183"/>
      </c:barChart>
      <c:lineChart>
        <c:grouping val="standard"/>
        <c:varyColors val="0"/>
        <c:ser>
          <c:idx val="2"/>
          <c:order val="2"/>
          <c:tx>
            <c:strRef>
              <c:f>κ_Μηδενικό_Σενάριο!$C$7</c:f>
              <c:strCache>
                <c:ptCount val="1"/>
                <c:pt idx="0">
                  <c:v>ΠΑΡΑΓΩΓΗ 
Total kWh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κ_Μηδενικό_Σενάριο!$A$8:$A$19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κ_Μηδενικό_Σενάριο!$C$8:$C$19</c:f>
              <c:numCache>
                <c:formatCode>#,##0.00</c:formatCode>
                <c:ptCount val="12"/>
                <c:pt idx="0">
                  <c:v>493.02</c:v>
                </c:pt>
                <c:pt idx="1">
                  <c:v>517.37399999999991</c:v>
                </c:pt>
                <c:pt idx="2">
                  <c:v>697.35599999999999</c:v>
                </c:pt>
                <c:pt idx="3">
                  <c:v>798.93</c:v>
                </c:pt>
                <c:pt idx="4">
                  <c:v>891.59400000000005</c:v>
                </c:pt>
                <c:pt idx="5">
                  <c:v>927.23400000000004</c:v>
                </c:pt>
                <c:pt idx="6">
                  <c:v>1011.5820000000001</c:v>
                </c:pt>
                <c:pt idx="7">
                  <c:v>962.28</c:v>
                </c:pt>
                <c:pt idx="8">
                  <c:v>771.60599999999999</c:v>
                </c:pt>
                <c:pt idx="9">
                  <c:v>617.76</c:v>
                </c:pt>
                <c:pt idx="10">
                  <c:v>459.75600000000009</c:v>
                </c:pt>
                <c:pt idx="11">
                  <c:v>435.40199999999999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90-4719-9D07-E330B467B8AA}"/>
            </c:ext>
          </c:extLst>
        </c:ser>
        <c:ser>
          <c:idx val="3"/>
          <c:order val="1"/>
          <c:tx>
            <c:strRef>
              <c:f>κ_Μηδενικό_Σενάριο!$D$7</c:f>
              <c:strCache>
                <c:ptCount val="1"/>
                <c:pt idx="0">
                  <c:v>Μηνιαία Κατανάλωση (kWh)</c:v>
                </c:pt>
              </c:strCache>
            </c:strRef>
          </c:tx>
          <c:spPr>
            <a:ln w="28575" cap="rnd">
              <a:solidFill>
                <a:schemeClr val="accent4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κ_Μηδενικό_Σενάριο!$A$8:$A$19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κ_Μηδενικό_Σενάριο!$D$8:$D$19</c:f>
              <c:numCache>
                <c:formatCode>#,##0.00</c:formatCode>
                <c:ptCount val="12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600</c:v>
                </c:pt>
                <c:pt idx="10">
                  <c:v>800</c:v>
                </c:pt>
                <c:pt idx="11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90-4719-9D07-E330B467B8AA}"/>
            </c:ext>
          </c:extLst>
        </c:ser>
        <c:ser>
          <c:idx val="4"/>
          <c:order val="3"/>
          <c:tx>
            <c:strRef>
              <c:f>κ_Μηδενικό_Σενάριο!$K$7</c:f>
              <c:strCache>
                <c:ptCount val="1"/>
                <c:pt idx="0">
                  <c:v>Συνολική Αυτοκατανάλωση (kWh)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κ_Μηδενικό_Σενάριο!$A$8:$A$19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κ_Μηδενικό_Σενάριο!$K$8:$K$19</c:f>
              <c:numCache>
                <c:formatCode>#,##0.00</c:formatCode>
                <c:ptCount val="12"/>
                <c:pt idx="0">
                  <c:v>320</c:v>
                </c:pt>
                <c:pt idx="1">
                  <c:v>400</c:v>
                </c:pt>
                <c:pt idx="2">
                  <c:v>480</c:v>
                </c:pt>
                <c:pt idx="3">
                  <c:v>315</c:v>
                </c:pt>
                <c:pt idx="4">
                  <c:v>280</c:v>
                </c:pt>
                <c:pt idx="5">
                  <c:v>315</c:v>
                </c:pt>
                <c:pt idx="6">
                  <c:v>420</c:v>
                </c:pt>
                <c:pt idx="7">
                  <c:v>420</c:v>
                </c:pt>
                <c:pt idx="8">
                  <c:v>240</c:v>
                </c:pt>
                <c:pt idx="9">
                  <c:v>330</c:v>
                </c:pt>
                <c:pt idx="10">
                  <c:v>400</c:v>
                </c:pt>
                <c:pt idx="11">
                  <c:v>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E90-4719-9D07-E330B467B8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043023"/>
        <c:axId val="360044271"/>
      </c:lineChart>
      <c:catAx>
        <c:axId val="74539126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41901183"/>
        <c:crosses val="autoZero"/>
        <c:auto val="1"/>
        <c:lblAlgn val="ctr"/>
        <c:lblOffset val="100"/>
        <c:noMultiLvlLbl val="0"/>
      </c:catAx>
      <c:valAx>
        <c:axId val="641901183"/>
        <c:scaling>
          <c:orientation val="minMax"/>
          <c:max val="100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Euro</a:t>
                </a:r>
              </a:p>
            </c:rich>
          </c:tx>
          <c:overlay val="0"/>
          <c:spPr>
            <a:noFill/>
            <a:ln>
              <a:solidFill>
                <a:schemeClr val="accent3">
                  <a:lumMod val="50000"/>
                </a:schemeClr>
              </a:solidFill>
              <a:prstDash val="solid"/>
            </a:ln>
          </c:sp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745391263"/>
        <c:crosses val="max"/>
        <c:crossBetween val="between"/>
        <c:majorUnit val="250"/>
      </c:valAx>
      <c:catAx>
        <c:axId val="360043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360044271"/>
        <c:crosses val="autoZero"/>
        <c:auto val="1"/>
        <c:lblAlgn val="ctr"/>
        <c:lblOffset val="100"/>
        <c:noMultiLvlLbl val="0"/>
      </c:catAx>
      <c:valAx>
        <c:axId val="36004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kwh</a:t>
                </a:r>
              </a:p>
            </c:rich>
          </c:tx>
          <c:overlay val="0"/>
          <c:spPr>
            <a:noFill/>
            <a:ln>
              <a:noFill/>
              <a:prstDash val="solid"/>
            </a:ln>
          </c:sp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360043023"/>
        <c:crosses val="autoZero"/>
        <c:crossBetween val="between"/>
      </c:valAx>
    </c:plotArea>
    <c:legend>
      <c:legendPos val="b"/>
      <c:overlay val="0"/>
      <c:spPr>
        <a:noFill/>
        <a:ln>
          <a:noFill/>
          <a:prstDash val="solid"/>
        </a:ln>
      </c:spPr>
      <c:txPr>
        <a:bodyPr rot="0" vert="horz"/>
        <a:lstStyle/>
        <a:p>
          <a:pPr>
            <a:defRPr/>
          </a:pPr>
          <a:endParaRPr lang="el-GR"/>
        </a:p>
      </c:txPr>
    </c:legend>
    <c:plotVisOnly val="1"/>
    <c:dispBlanksAs val="gap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</c:spPr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DPP </a:t>
            </a:r>
            <a:r>
              <a:rPr lang="el-GR"/>
              <a:t>ανά αύξηση κατανάλωσης - ενδεικτικές σειρές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ιδ_Σενάρια_Καταν_Επιδ!$B$90</c:f>
              <c:strCache>
                <c:ptCount val="1"/>
                <c:pt idx="0">
                  <c:v>Χωρίς μπαταρία</c:v>
                </c:pt>
              </c:strCache>
            </c:strRef>
          </c:tx>
          <c:spPr>
            <a:ln>
              <a:prstDash val="solid"/>
            </a:ln>
          </c:spPr>
          <c:marker>
            <c:symbol val="circle"/>
            <c:size val="6"/>
            <c:spPr>
              <a:ln>
                <a:prstDash val="solid"/>
              </a:ln>
            </c:spPr>
          </c:marker>
          <c:dLbls>
            <c:dLbl>
              <c:idx val="4"/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485-49B6-AF71-F9A515668D5A}"/>
                </c:ext>
              </c:extLst>
            </c:dLbl>
            <c:spPr>
              <a:noFill/>
              <a:ln>
                <a:noFill/>
                <a:prstDash val="solid"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ιδ_Σενάρια_Καταν_Επιδ!$B$91:$B$95</c:f>
              <c:numCache>
                <c:formatCode>0.00</c:formatCode>
                <c:ptCount val="5"/>
                <c:pt idx="0">
                  <c:v>5.2533973365172866</c:v>
                </c:pt>
                <c:pt idx="1">
                  <c:v>4.7321456773008785</c:v>
                </c:pt>
                <c:pt idx="2">
                  <c:v>4.3597066457750859</c:v>
                </c:pt>
                <c:pt idx="3">
                  <c:v>4.1168141204388728</c:v>
                </c:pt>
                <c:pt idx="4">
                  <c:v>3.480237094935966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85-49B6-AF71-F9A515668D5A}"/>
            </c:ext>
          </c:extLst>
        </c:ser>
        <c:ser>
          <c:idx val="1"/>
          <c:order val="1"/>
          <c:tx>
            <c:strRef>
              <c:f>ιδ_Σενάρια_Καταν_Επιδ!$C$90</c:f>
              <c:strCache>
                <c:ptCount val="1"/>
                <c:pt idx="0">
                  <c:v>2,5 kWh - 0% επιδ.</c:v>
                </c:pt>
              </c:strCache>
            </c:strRef>
          </c:tx>
          <c:spPr>
            <a:ln>
              <a:prstDash val="solid"/>
            </a:ln>
          </c:spPr>
          <c:marker>
            <c:symbol val="circle"/>
            <c:size val="6"/>
            <c:spPr>
              <a:ln>
                <a:prstDash val="solid"/>
              </a:ln>
            </c:spPr>
          </c:marker>
          <c:dLbls>
            <c:spPr>
              <a:noFill/>
              <a:ln>
                <a:noFill/>
                <a:prstDash val="solid"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ιδ_Σενάρια_Καταν_Επιδ!$C$91:$C$95</c:f>
              <c:numCache>
                <c:formatCode>0.00</c:formatCode>
                <c:ptCount val="5"/>
                <c:pt idx="0">
                  <c:v>5.2387997912579234</c:v>
                </c:pt>
                <c:pt idx="1">
                  <c:v>4.9392200337837648</c:v>
                </c:pt>
                <c:pt idx="2">
                  <c:v>4.6898164628023151</c:v>
                </c:pt>
                <c:pt idx="3">
                  <c:v>4.5702997055038157</c:v>
                </c:pt>
                <c:pt idx="4">
                  <c:v>4.4732875271944854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85-49B6-AF71-F9A515668D5A}"/>
            </c:ext>
          </c:extLst>
        </c:ser>
        <c:ser>
          <c:idx val="2"/>
          <c:order val="2"/>
          <c:tx>
            <c:strRef>
              <c:f>ιδ_Σενάρια_Καταν_Επιδ!$D$90</c:f>
              <c:strCache>
                <c:ptCount val="1"/>
                <c:pt idx="0">
                  <c:v>2,5 kWh - 80% επιδ.</c:v>
                </c:pt>
              </c:strCache>
            </c:strRef>
          </c:tx>
          <c:spPr>
            <a:ln>
              <a:prstDash val="solid"/>
            </a:ln>
          </c:spPr>
          <c:marker>
            <c:symbol val="circle"/>
            <c:size val="6"/>
            <c:spPr>
              <a:ln>
                <a:prstDash val="solid"/>
              </a:ln>
            </c:spPr>
          </c:marker>
          <c:dLbls>
            <c:dLbl>
              <c:idx val="4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485-49B6-AF71-F9A515668D5A}"/>
                </c:ext>
              </c:extLst>
            </c:dLbl>
            <c:spPr>
              <a:noFill/>
              <a:ln>
                <a:noFill/>
                <a:prstDash val="solid"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ιδ_Σενάρια_Καταν_Επιδ!$D$91:$D$95</c:f>
              <c:numCache>
                <c:formatCode>0.00</c:formatCode>
                <c:ptCount val="5"/>
                <c:pt idx="0">
                  <c:v>4.1580620318566393</c:v>
                </c:pt>
                <c:pt idx="1">
                  <c:v>3.9227041691370719</c:v>
                </c:pt>
                <c:pt idx="2">
                  <c:v>3.7265380843879803</c:v>
                </c:pt>
                <c:pt idx="3">
                  <c:v>3.6324600482892198</c:v>
                </c:pt>
                <c:pt idx="4">
                  <c:v>3.556061744808241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485-49B6-AF71-F9A515668D5A}"/>
            </c:ext>
          </c:extLst>
        </c:ser>
        <c:ser>
          <c:idx val="3"/>
          <c:order val="3"/>
          <c:tx>
            <c:strRef>
              <c:f>ιδ_Σενάρια_Καταν_Επιδ!$E$90</c:f>
              <c:strCache>
                <c:ptCount val="1"/>
                <c:pt idx="0">
                  <c:v>10 kWh - 0% επιδ.</c:v>
                </c:pt>
              </c:strCache>
            </c:strRef>
          </c:tx>
          <c:spPr>
            <a:ln>
              <a:prstDash val="solid"/>
            </a:ln>
          </c:spPr>
          <c:marker>
            <c:symbol val="circle"/>
            <c:size val="6"/>
            <c:spPr>
              <a:ln>
                <a:prstDash val="solid"/>
              </a:ln>
            </c:spPr>
          </c:marker>
          <c:dLbls>
            <c:spPr>
              <a:noFill/>
              <a:ln>
                <a:noFill/>
                <a:prstDash val="solid"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ιδ_Σενάρια_Καταν_Επιδ!$E$91:$E$95</c:f>
              <c:numCache>
                <c:formatCode>0.00</c:formatCode>
                <c:ptCount val="5"/>
                <c:pt idx="0">
                  <c:v>8.8636689590204565</c:v>
                </c:pt>
                <c:pt idx="1">
                  <c:v>8.3198346608631599</c:v>
                </c:pt>
                <c:pt idx="2">
                  <c:v>8.1063505362512078</c:v>
                </c:pt>
                <c:pt idx="3">
                  <c:v>8.0693674252962957</c:v>
                </c:pt>
                <c:pt idx="4">
                  <c:v>8.0693674252962957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485-49B6-AF71-F9A515668D5A}"/>
            </c:ext>
          </c:extLst>
        </c:ser>
        <c:ser>
          <c:idx val="4"/>
          <c:order val="4"/>
          <c:tx>
            <c:strRef>
              <c:f>ιδ_Σενάρια_Καταν_Επιδ!$F$90</c:f>
              <c:strCache>
                <c:ptCount val="1"/>
                <c:pt idx="0">
                  <c:v>10 kWh - 80% επιδ.</c:v>
                </c:pt>
              </c:strCache>
            </c:strRef>
          </c:tx>
          <c:spPr>
            <a:ln>
              <a:prstDash val="solid"/>
            </a:ln>
          </c:spPr>
          <c:marker>
            <c:symbol val="circle"/>
            <c:size val="6"/>
            <c:spPr>
              <a:ln>
                <a:prstDash val="solid"/>
              </a:ln>
            </c:spPr>
          </c:marker>
          <c:dLbls>
            <c:dLbl>
              <c:idx val="4"/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485-49B6-AF71-F9A515668D5A}"/>
                </c:ext>
              </c:extLst>
            </c:dLbl>
            <c:spPr>
              <a:noFill/>
              <a:ln>
                <a:noFill/>
                <a:prstDash val="solid"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ιδ_Σενάρια_Καταν_Επιδ!$F$91:$F$95</c:f>
              <c:numCache>
                <c:formatCode>0.00</c:formatCode>
                <c:ptCount val="5"/>
                <c:pt idx="0">
                  <c:v>4.6426145880648333</c:v>
                </c:pt>
                <c:pt idx="1">
                  <c:v>4.368946796641473</c:v>
                </c:pt>
                <c:pt idx="2">
                  <c:v>4.2611173403447973</c:v>
                </c:pt>
                <c:pt idx="3">
                  <c:v>4.242414482712114</c:v>
                </c:pt>
                <c:pt idx="4">
                  <c:v>4.242414482712114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485-49B6-AF71-F9A515668D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2131487"/>
        <c:axId val="1308250191"/>
      </c:lineChart>
      <c:catAx>
        <c:axId val="162213148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l-GR"/>
                  <a:t>Αύξηση κατανάλωσης</a:t>
                </a:r>
              </a:p>
            </c:rich>
          </c:tx>
          <c:overlay val="0"/>
        </c:title>
        <c:numFmt formatCode="0.00%" sourceLinked="0"/>
        <c:majorTickMark val="out"/>
        <c:minorTickMark val="none"/>
        <c:tickLblPos val="nextTo"/>
        <c:crossAx val="1308250191"/>
        <c:crosses val="autoZero"/>
        <c:auto val="1"/>
        <c:lblAlgn val="ctr"/>
        <c:lblOffset val="100"/>
        <c:noMultiLvlLbl val="0"/>
      </c:catAx>
      <c:valAx>
        <c:axId val="1308250191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DPP (</a:t>
                </a:r>
                <a:r>
                  <a:rPr lang="el-GR"/>
                  <a:t>έτη)</a:t>
                </a:r>
              </a:p>
            </c:rich>
          </c:tx>
          <c:overlay val="0"/>
        </c:title>
        <c:numFmt formatCode="0.00" sourceLinked="0"/>
        <c:majorTickMark val="out"/>
        <c:minorTickMark val="none"/>
        <c:tickLblPos val="nextTo"/>
        <c:crossAx val="1622131487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1"/>
  </c:chart>
  <c:spPr>
    <a:solidFill>
      <a:srgbClr val="FFFFFF"/>
    </a:solidFill>
    <a:ln w="6350">
      <a:noFill/>
      <a:prstDash val="solid"/>
    </a:ln>
  </c:spPr>
  <c:txPr>
    <a:bodyPr/>
    <a:lstStyle/>
    <a:p>
      <a:pPr>
        <a:defRPr sz="105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kern="1200" baseline="0">
                <a:solidFill>
                  <a:sysClr val="windowText" lastClr="000000"/>
                </a:solidFill>
              </a:rPr>
              <a:t>DPP </a:t>
            </a:r>
            <a:r>
              <a:rPr lang="el-GR" sz="1400" b="1" i="0" u="none" strike="noStrike" kern="1200" baseline="0">
                <a:solidFill>
                  <a:sysClr val="windowText" lastClr="000000"/>
                </a:solidFill>
              </a:rPr>
              <a:t>ανά αύξηση κατανάλωσης - ενδεικτικές σειρές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l-G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ιδ_Σενάρια_Καταν_Επιδ!$B$90</c:f>
              <c:strCache>
                <c:ptCount val="1"/>
                <c:pt idx="0">
                  <c:v>Χωρίς μπαταρία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ιδ_Σενάρια_Καταν_Επιδ!$A$91:$A$95</c:f>
              <c:numCache>
                <c:formatCode>0.00%</c:formatCode>
                <c:ptCount val="5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1.5</c:v>
                </c:pt>
              </c:numCache>
            </c:numRef>
          </c:cat>
          <c:val>
            <c:numRef>
              <c:f>ιδ_Σενάρια_Καταν_Επιδ!$B$91:$B$95</c:f>
              <c:numCache>
                <c:formatCode>0.00</c:formatCode>
                <c:ptCount val="5"/>
                <c:pt idx="0">
                  <c:v>5.2533973365172866</c:v>
                </c:pt>
                <c:pt idx="1">
                  <c:v>4.7321456773008785</c:v>
                </c:pt>
                <c:pt idx="2">
                  <c:v>4.3597066457750859</c:v>
                </c:pt>
                <c:pt idx="3">
                  <c:v>4.1168141204388728</c:v>
                </c:pt>
                <c:pt idx="4">
                  <c:v>3.480237094935966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A7-4AA6-9513-B75C0D08692B}"/>
            </c:ext>
          </c:extLst>
        </c:ser>
        <c:ser>
          <c:idx val="2"/>
          <c:order val="1"/>
          <c:tx>
            <c:strRef>
              <c:f>ιδ_Σενάρια_Καταν_Επιδ!$C$90</c:f>
              <c:strCache>
                <c:ptCount val="1"/>
                <c:pt idx="0">
                  <c:v>2,5 kWh - 0% επιδ.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ιδ_Σενάρια_Καταν_Επιδ!$A$91:$A$95</c:f>
              <c:numCache>
                <c:formatCode>0.00%</c:formatCode>
                <c:ptCount val="5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1.5</c:v>
                </c:pt>
              </c:numCache>
            </c:numRef>
          </c:cat>
          <c:val>
            <c:numRef>
              <c:f>ιδ_Σενάρια_Καταν_Επιδ!$C$91:$C$95</c:f>
              <c:numCache>
                <c:formatCode>0.00</c:formatCode>
                <c:ptCount val="5"/>
                <c:pt idx="0">
                  <c:v>5.2387997912579234</c:v>
                </c:pt>
                <c:pt idx="1">
                  <c:v>4.9392200337837648</c:v>
                </c:pt>
                <c:pt idx="2">
                  <c:v>4.6898164628023151</c:v>
                </c:pt>
                <c:pt idx="3">
                  <c:v>4.5702997055038157</c:v>
                </c:pt>
                <c:pt idx="4">
                  <c:v>4.4732875271944854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A7-4AA6-9513-B75C0D08692B}"/>
            </c:ext>
          </c:extLst>
        </c:ser>
        <c:ser>
          <c:idx val="3"/>
          <c:order val="2"/>
          <c:tx>
            <c:strRef>
              <c:f>ιδ_Σενάρια_Καταν_Επιδ!$D$90</c:f>
              <c:strCache>
                <c:ptCount val="1"/>
                <c:pt idx="0">
                  <c:v>2,5 kWh - 80% επιδ.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ιδ_Σενάρια_Καταν_Επιδ!$A$91:$A$95</c:f>
              <c:numCache>
                <c:formatCode>0.00%</c:formatCode>
                <c:ptCount val="5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1.5</c:v>
                </c:pt>
              </c:numCache>
            </c:numRef>
          </c:cat>
          <c:val>
            <c:numRef>
              <c:f>ιδ_Σενάρια_Καταν_Επιδ!$D$91:$D$95</c:f>
              <c:numCache>
                <c:formatCode>0.00</c:formatCode>
                <c:ptCount val="5"/>
                <c:pt idx="0">
                  <c:v>4.1580620318566393</c:v>
                </c:pt>
                <c:pt idx="1">
                  <c:v>3.9227041691370719</c:v>
                </c:pt>
                <c:pt idx="2">
                  <c:v>3.7265380843879803</c:v>
                </c:pt>
                <c:pt idx="3">
                  <c:v>3.6324600482892198</c:v>
                </c:pt>
                <c:pt idx="4">
                  <c:v>3.556061744808241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6A7-4AA6-9513-B75C0D08692B}"/>
            </c:ext>
          </c:extLst>
        </c:ser>
        <c:ser>
          <c:idx val="4"/>
          <c:order val="3"/>
          <c:tx>
            <c:strRef>
              <c:f>ιδ_Σενάρια_Καταν_Επιδ!$E$90</c:f>
              <c:strCache>
                <c:ptCount val="1"/>
                <c:pt idx="0">
                  <c:v>10 kWh - 0% επιδ.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ιδ_Σενάρια_Καταν_Επιδ!$A$91:$A$95</c:f>
              <c:numCache>
                <c:formatCode>0.00%</c:formatCode>
                <c:ptCount val="5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1.5</c:v>
                </c:pt>
              </c:numCache>
            </c:numRef>
          </c:cat>
          <c:val>
            <c:numRef>
              <c:f>ιδ_Σενάρια_Καταν_Επιδ!$E$91:$E$95</c:f>
              <c:numCache>
                <c:formatCode>0.00</c:formatCode>
                <c:ptCount val="5"/>
                <c:pt idx="0">
                  <c:v>8.8636689590204565</c:v>
                </c:pt>
                <c:pt idx="1">
                  <c:v>8.3198346608631599</c:v>
                </c:pt>
                <c:pt idx="2">
                  <c:v>8.1063505362512078</c:v>
                </c:pt>
                <c:pt idx="3">
                  <c:v>8.0693674252962957</c:v>
                </c:pt>
                <c:pt idx="4">
                  <c:v>8.0693674252962957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A7-4AA6-9513-B75C0D08692B}"/>
            </c:ext>
          </c:extLst>
        </c:ser>
        <c:ser>
          <c:idx val="5"/>
          <c:order val="4"/>
          <c:tx>
            <c:strRef>
              <c:f>ιδ_Σενάρια_Καταν_Επιδ!$F$90</c:f>
              <c:strCache>
                <c:ptCount val="1"/>
                <c:pt idx="0">
                  <c:v>10 kWh - 80% επιδ.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ιδ_Σενάρια_Καταν_Επιδ!$A$91:$A$95</c:f>
              <c:numCache>
                <c:formatCode>0.00%</c:formatCode>
                <c:ptCount val="5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1.5</c:v>
                </c:pt>
              </c:numCache>
            </c:numRef>
          </c:cat>
          <c:val>
            <c:numRef>
              <c:f>ιδ_Σενάρια_Καταν_Επιδ!$F$91:$F$95</c:f>
              <c:numCache>
                <c:formatCode>0.00</c:formatCode>
                <c:ptCount val="5"/>
                <c:pt idx="0">
                  <c:v>4.6426145880648333</c:v>
                </c:pt>
                <c:pt idx="1">
                  <c:v>4.368946796641473</c:v>
                </c:pt>
                <c:pt idx="2">
                  <c:v>4.2611173403447973</c:v>
                </c:pt>
                <c:pt idx="3">
                  <c:v>4.242414482712114</c:v>
                </c:pt>
                <c:pt idx="4">
                  <c:v>4.242414482712114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6A7-4AA6-9513-B75C0D08692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297835967"/>
        <c:axId val="1297833567"/>
      </c:lineChart>
      <c:catAx>
        <c:axId val="1297835967"/>
        <c:scaling>
          <c:orientation val="minMax"/>
        </c:scaling>
        <c:delete val="0"/>
        <c:axPos val="b"/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297833567"/>
        <c:crosses val="autoZero"/>
        <c:auto val="1"/>
        <c:lblAlgn val="ctr"/>
        <c:lblOffset val="100"/>
        <c:noMultiLvlLbl val="0"/>
      </c:catAx>
      <c:valAx>
        <c:axId val="1297833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12978359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l-G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'Απόδοση Εγκατάστασης'!$J$7</c:f>
              <c:strCache>
                <c:ptCount val="1"/>
                <c:pt idx="0">
                  <c:v>Συνολικό Όφελος (euro)</c:v>
                </c:pt>
              </c:strCache>
            </c:strRef>
          </c:tx>
          <c:spPr>
            <a:solidFill>
              <a:schemeClr val="accent2"/>
            </a:solidFill>
            <a:ln>
              <a:noFill/>
              <a:prstDash val="solid"/>
            </a:ln>
          </c:spPr>
          <c:invertIfNegative val="0"/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'Απόδοση Εγκατάστασης'!$A$8:$A$19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'Απόδοση Εγκατάστασης'!$J$8:$J$19</c:f>
              <c:numCache>
                <c:formatCode>#,##0.00</c:formatCode>
                <c:ptCount val="12"/>
                <c:pt idx="0">
                  <c:v>94.102000000000004</c:v>
                </c:pt>
                <c:pt idx="1">
                  <c:v>107.73739999999999</c:v>
                </c:pt>
                <c:pt idx="2">
                  <c:v>136.93559999999999</c:v>
                </c:pt>
                <c:pt idx="3">
                  <c:v>123.99299999999999</c:v>
                </c:pt>
                <c:pt idx="4">
                  <c:v>128.35939999999999</c:v>
                </c:pt>
                <c:pt idx="5">
                  <c:v>136.82339999999999</c:v>
                </c:pt>
                <c:pt idx="6">
                  <c:v>159.95820000000001</c:v>
                </c:pt>
                <c:pt idx="7">
                  <c:v>155.02799999999999</c:v>
                </c:pt>
                <c:pt idx="8">
                  <c:v>110.7606</c:v>
                </c:pt>
                <c:pt idx="9">
                  <c:v>107.976</c:v>
                </c:pt>
                <c:pt idx="10">
                  <c:v>101.9756</c:v>
                </c:pt>
                <c:pt idx="11">
                  <c:v>88.340199999999996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CD-4A06-8B2B-E64ECF198B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5391263"/>
        <c:axId val="641901183"/>
      </c:barChart>
      <c:lineChart>
        <c:grouping val="standard"/>
        <c:varyColors val="0"/>
        <c:ser>
          <c:idx val="2"/>
          <c:order val="2"/>
          <c:tx>
            <c:strRef>
              <c:f>'Απόδοση Εγκατάστασης'!$C$7</c:f>
              <c:strCache>
                <c:ptCount val="1"/>
                <c:pt idx="0">
                  <c:v>ΠΑΡΑΓΩΓΗ 
Total kWh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'Απόδοση Εγκατάστασης'!$A$8:$A$19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'Απόδοση Εγκατάστασης'!$C$8:$C$19</c:f>
              <c:numCache>
                <c:formatCode>#,##0.00</c:formatCode>
                <c:ptCount val="12"/>
                <c:pt idx="0">
                  <c:v>821.7</c:v>
                </c:pt>
                <c:pt idx="1">
                  <c:v>862.29</c:v>
                </c:pt>
                <c:pt idx="2">
                  <c:v>1162.26</c:v>
                </c:pt>
                <c:pt idx="3">
                  <c:v>1331.55</c:v>
                </c:pt>
                <c:pt idx="4">
                  <c:v>1485.99</c:v>
                </c:pt>
                <c:pt idx="5">
                  <c:v>1545.39</c:v>
                </c:pt>
                <c:pt idx="6">
                  <c:v>1685.97</c:v>
                </c:pt>
                <c:pt idx="7">
                  <c:v>1603.8</c:v>
                </c:pt>
                <c:pt idx="8">
                  <c:v>1286.01</c:v>
                </c:pt>
                <c:pt idx="9">
                  <c:v>1029.5999999999999</c:v>
                </c:pt>
                <c:pt idx="10">
                  <c:v>766.26</c:v>
                </c:pt>
                <c:pt idx="11">
                  <c:v>725.67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CD-4A06-8B2B-E64ECF198B58}"/>
            </c:ext>
          </c:extLst>
        </c:ser>
        <c:ser>
          <c:idx val="3"/>
          <c:order val="1"/>
          <c:tx>
            <c:strRef>
              <c:f>'Απόδοση Εγκατάστασης'!$D$7</c:f>
              <c:strCache>
                <c:ptCount val="1"/>
                <c:pt idx="0">
                  <c:v>Μηνιαία Κατανάλωση (kWh)</c:v>
                </c:pt>
              </c:strCache>
            </c:strRef>
          </c:tx>
          <c:spPr>
            <a:ln w="28575" cap="rnd">
              <a:solidFill>
                <a:schemeClr val="accent4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'Απόδοση Εγκατάστασης'!$A$8:$A$19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'Απόδοση Εγκατάστασης'!$D$8:$D$19</c:f>
              <c:numCache>
                <c:formatCode>General</c:formatCode>
                <c:ptCount val="12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  <c:pt idx="3">
                  <c:v>450</c:v>
                </c:pt>
                <c:pt idx="4">
                  <c:v>400</c:v>
                </c:pt>
                <c:pt idx="5">
                  <c:v>450</c:v>
                </c:pt>
                <c:pt idx="6">
                  <c:v>600</c:v>
                </c:pt>
                <c:pt idx="7">
                  <c:v>600</c:v>
                </c:pt>
                <c:pt idx="8">
                  <c:v>400</c:v>
                </c:pt>
                <c:pt idx="9">
                  <c:v>600</c:v>
                </c:pt>
                <c:pt idx="10">
                  <c:v>800</c:v>
                </c:pt>
                <c:pt idx="11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CD-4A06-8B2B-E64ECF198B58}"/>
            </c:ext>
          </c:extLst>
        </c:ser>
        <c:ser>
          <c:idx val="4"/>
          <c:order val="3"/>
          <c:tx>
            <c:strRef>
              <c:f>'Απόδοση Εγκατάστασης'!$F$7</c:f>
              <c:strCache>
                <c:ptCount val="1"/>
                <c:pt idx="0">
                  <c:v>Συμψηφιζόμενη Ισχύ (kWh)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olid"/>
              <a:round/>
            </a:ln>
          </c:spPr>
          <c:marker>
            <c:symbol val="none"/>
          </c:marker>
          <c:dLbls>
            <c:spPr>
              <a:noFill/>
              <a:ln>
                <a:noFill/>
                <a:prstDash val="solid"/>
              </a:ln>
            </c:spPr>
            <c:txPr>
              <a:bodyPr rot="0" vert="horz"/>
              <a:lstStyle/>
              <a:p>
                <a:pPr>
                  <a:defRPr/>
                </a:pPr>
                <a:endParaRPr lang="el-G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'Απόδοση Εγκατάστασης'!$A$8:$A$19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'Απόδοση Εγκατάστασης'!$F$8:$F$19</c:f>
              <c:numCache>
                <c:formatCode>General</c:formatCode>
                <c:ptCount val="12"/>
                <c:pt idx="0">
                  <c:v>320</c:v>
                </c:pt>
                <c:pt idx="1">
                  <c:v>400</c:v>
                </c:pt>
                <c:pt idx="2">
                  <c:v>480</c:v>
                </c:pt>
                <c:pt idx="3">
                  <c:v>315</c:v>
                </c:pt>
                <c:pt idx="4">
                  <c:v>280</c:v>
                </c:pt>
                <c:pt idx="5">
                  <c:v>315</c:v>
                </c:pt>
                <c:pt idx="6">
                  <c:v>420</c:v>
                </c:pt>
                <c:pt idx="7">
                  <c:v>420</c:v>
                </c:pt>
                <c:pt idx="8">
                  <c:v>240</c:v>
                </c:pt>
                <c:pt idx="9">
                  <c:v>330</c:v>
                </c:pt>
                <c:pt idx="10">
                  <c:v>400</c:v>
                </c:pt>
                <c:pt idx="11">
                  <c:v>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CCD-4A06-8B2B-E64ECF198B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043023"/>
        <c:axId val="360044271"/>
      </c:lineChart>
      <c:catAx>
        <c:axId val="74539126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41901183"/>
        <c:crosses val="autoZero"/>
        <c:auto val="1"/>
        <c:lblAlgn val="ctr"/>
        <c:lblOffset val="100"/>
        <c:noMultiLvlLbl val="0"/>
      </c:catAx>
      <c:valAx>
        <c:axId val="641901183"/>
        <c:scaling>
          <c:orientation val="minMax"/>
          <c:max val="100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Euro</a:t>
                </a:r>
              </a:p>
            </c:rich>
          </c:tx>
          <c:overlay val="0"/>
          <c:spPr>
            <a:noFill/>
            <a:ln>
              <a:solidFill>
                <a:schemeClr val="accent3">
                  <a:lumMod val="50000"/>
                </a:schemeClr>
              </a:solidFill>
              <a:prstDash val="solid"/>
            </a:ln>
          </c:sp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745391263"/>
        <c:crosses val="max"/>
        <c:crossBetween val="between"/>
        <c:majorUnit val="250"/>
      </c:valAx>
      <c:catAx>
        <c:axId val="360043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360044271"/>
        <c:crosses val="autoZero"/>
        <c:auto val="1"/>
        <c:lblAlgn val="ctr"/>
        <c:lblOffset val="100"/>
        <c:noMultiLvlLbl val="0"/>
      </c:catAx>
      <c:valAx>
        <c:axId val="36004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kwh</a:t>
                </a:r>
              </a:p>
            </c:rich>
          </c:tx>
          <c:overlay val="0"/>
          <c:spPr>
            <a:noFill/>
            <a:ln>
              <a:noFill/>
              <a:prstDash val="solid"/>
            </a:ln>
          </c:sp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el-GR"/>
          </a:p>
        </c:txPr>
        <c:crossAx val="360043023"/>
        <c:crosses val="autoZero"/>
        <c:crossBetween val="between"/>
      </c:valAx>
    </c:plotArea>
    <c:legend>
      <c:legendPos val="b"/>
      <c:overlay val="0"/>
      <c:spPr>
        <a:noFill/>
        <a:ln>
          <a:noFill/>
          <a:prstDash val="solid"/>
        </a:ln>
      </c:spPr>
      <c:txPr>
        <a:bodyPr rot="0" vert="horz"/>
        <a:lstStyle/>
        <a:p>
          <a:pPr>
            <a:defRPr/>
          </a:pPr>
          <a:endParaRPr lang="el-GR"/>
        </a:p>
      </c:txPr>
    </c:legend>
    <c:plotVisOnly val="1"/>
    <c:dispBlanksAs val="gap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</c:spPr>
  <c:txPr>
    <a:bodyPr/>
    <a:lstStyle/>
    <a:p>
      <a:pPr>
        <a:defRPr sz="1100"/>
      </a:pPr>
      <a:endParaRPr lang="el-G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l-GR"/>
              <a:t>ΕΞΕΛΙΞΗ</a:t>
            </a:r>
            <a:r>
              <a:rPr lang="el-GR" baseline="0"/>
              <a:t> ΕΠΕΝΔΥΣΗΣ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5319814674097981E-2"/>
          <c:y val="4.1062329908725853E-2"/>
          <c:w val="0.92947678143939727"/>
          <c:h val="0.88617499462099159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IRR_DPP!$E$2</c:f>
              <c:strCache>
                <c:ptCount val="1"/>
                <c:pt idx="0">
                  <c:v>Εξέλιξη Επένδυσης (€)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prstDash val="solid"/>
            </a:ln>
          </c:spPr>
          <c:invertIfNegative val="0"/>
          <c:dLbls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  <a:prstDash val="solid"/>
              </a:ln>
              <a:sp3d/>
            </c:spPr>
            <c:txPr>
              <a:bodyPr/>
              <a:lstStyle/>
              <a:p>
                <a:pPr>
                  <a:defRPr sz="14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l-G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IRR_DPP!$E$4:$E$28</c:f>
              <c:numCache>
                <c:formatCode>#,##0</c:formatCode>
                <c:ptCount val="25"/>
                <c:pt idx="0">
                  <c:v>-7704.4809803921562</c:v>
                </c:pt>
                <c:pt idx="1">
                  <c:v>-6308.8740984236829</c:v>
                </c:pt>
                <c:pt idx="2">
                  <c:v>-4940.6320572781206</c:v>
                </c:pt>
                <c:pt idx="3">
                  <c:v>-3599.2182914491377</c:v>
                </c:pt>
                <c:pt idx="4">
                  <c:v>-2284.1067563226843</c:v>
                </c:pt>
                <c:pt idx="5">
                  <c:v>-994.78172188498502</c:v>
                </c:pt>
                <c:pt idx="6">
                  <c:v>269.26242952452412</c:v>
                </c:pt>
                <c:pt idx="7">
                  <c:v>1508.5214014946323</c:v>
                </c:pt>
                <c:pt idx="8">
                  <c:v>2723.4811779359152</c:v>
                </c:pt>
                <c:pt idx="9">
                  <c:v>3914.618213662663</c:v>
                </c:pt>
                <c:pt idx="10">
                  <c:v>5082.3996212379061</c:v>
                </c:pt>
                <c:pt idx="11">
                  <c:v>6227.2833541548098</c:v>
                </c:pt>
                <c:pt idx="12">
                  <c:v>7349.7183864262843</c:v>
                </c:pt>
                <c:pt idx="13">
                  <c:v>8450.1448886532198</c:v>
                </c:pt>
                <c:pt idx="14">
                  <c:v>9528.9944006404112</c:v>
                </c:pt>
                <c:pt idx="15">
                  <c:v>10586.690000627856</c:v>
                </c:pt>
                <c:pt idx="16">
                  <c:v>11623.646471203781</c:v>
                </c:pt>
                <c:pt idx="17">
                  <c:v>12640.270461964494</c:v>
                </c:pt>
                <c:pt idx="18">
                  <c:v>13636.960648984797</c:v>
                </c:pt>
                <c:pt idx="19">
                  <c:v>14614.107891161566</c:v>
                </c:pt>
                <c:pt idx="20">
                  <c:v>15572.095383491731</c:v>
                </c:pt>
                <c:pt idx="21">
                  <c:v>16511.298807344836</c:v>
                </c:pt>
                <c:pt idx="22">
                  <c:v>17432.086477789057</c:v>
                </c:pt>
                <c:pt idx="23">
                  <c:v>18334.819488028486</c:v>
                </c:pt>
                <c:pt idx="24">
                  <c:v>19219.851851008319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44-46D2-82FA-F1AA54ED11E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61448704"/>
        <c:axId val="161450624"/>
      </c:barChart>
      <c:lineChart>
        <c:grouping val="standard"/>
        <c:varyColors val="0"/>
        <c:ser>
          <c:idx val="2"/>
          <c:order val="1"/>
          <c:tx>
            <c:strRef>
              <c:f>IRR_DPP!$E$2</c:f>
              <c:strCache>
                <c:ptCount val="1"/>
                <c:pt idx="0">
                  <c:v>Εξέλιξη Επένδυσης (€)</c:v>
                </c:pt>
              </c:strCache>
            </c:strRef>
          </c:tx>
          <c:spPr>
            <a:ln>
              <a:solidFill>
                <a:srgbClr val="00B050"/>
              </a:solidFill>
              <a:prstDash val="solid"/>
            </a:ln>
          </c:spPr>
          <c:marker>
            <c:symbol val="circle"/>
            <c:size val="6"/>
            <c:spPr>
              <a:ln>
                <a:solidFill>
                  <a:srgbClr val="00B050"/>
                </a:solidFill>
                <a:prstDash val="solid"/>
              </a:ln>
            </c:spPr>
          </c:marker>
          <c:dLbls>
            <c:delete val="1"/>
          </c:dLbls>
          <c:val>
            <c:numRef>
              <c:f>IRR_DPP!$E$4:$E$28</c:f>
              <c:numCache>
                <c:formatCode>#,##0</c:formatCode>
                <c:ptCount val="25"/>
                <c:pt idx="0">
                  <c:v>-7704.4809803921562</c:v>
                </c:pt>
                <c:pt idx="1">
                  <c:v>-6308.8740984236829</c:v>
                </c:pt>
                <c:pt idx="2">
                  <c:v>-4940.6320572781206</c:v>
                </c:pt>
                <c:pt idx="3">
                  <c:v>-3599.2182914491377</c:v>
                </c:pt>
                <c:pt idx="4">
                  <c:v>-2284.1067563226843</c:v>
                </c:pt>
                <c:pt idx="5">
                  <c:v>-994.78172188498502</c:v>
                </c:pt>
                <c:pt idx="6">
                  <c:v>269.26242952452412</c:v>
                </c:pt>
                <c:pt idx="7">
                  <c:v>1508.5214014946323</c:v>
                </c:pt>
                <c:pt idx="8">
                  <c:v>2723.4811779359152</c:v>
                </c:pt>
                <c:pt idx="9">
                  <c:v>3914.618213662663</c:v>
                </c:pt>
                <c:pt idx="10">
                  <c:v>5082.3996212379061</c:v>
                </c:pt>
                <c:pt idx="11">
                  <c:v>6227.2833541548098</c:v>
                </c:pt>
                <c:pt idx="12">
                  <c:v>7349.7183864262843</c:v>
                </c:pt>
                <c:pt idx="13">
                  <c:v>8450.1448886532198</c:v>
                </c:pt>
                <c:pt idx="14">
                  <c:v>9528.9944006404112</c:v>
                </c:pt>
                <c:pt idx="15">
                  <c:v>10586.690000627856</c:v>
                </c:pt>
                <c:pt idx="16">
                  <c:v>11623.646471203781</c:v>
                </c:pt>
                <c:pt idx="17">
                  <c:v>12640.270461964494</c:v>
                </c:pt>
                <c:pt idx="18">
                  <c:v>13636.960648984797</c:v>
                </c:pt>
                <c:pt idx="19">
                  <c:v>14614.107891161566</c:v>
                </c:pt>
                <c:pt idx="20">
                  <c:v>15572.095383491731</c:v>
                </c:pt>
                <c:pt idx="21">
                  <c:v>16511.298807344836</c:v>
                </c:pt>
                <c:pt idx="22">
                  <c:v>17432.086477789057</c:v>
                </c:pt>
                <c:pt idx="23">
                  <c:v>18334.819488028486</c:v>
                </c:pt>
                <c:pt idx="24">
                  <c:v>19219.851851008319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44-46D2-82FA-F1AA54ED11E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61448704"/>
        <c:axId val="161450624"/>
      </c:lineChart>
      <c:catAx>
        <c:axId val="1614487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1200" b="1" baseline="0">
                <a:solidFill>
                  <a:schemeClr val="accent2">
                    <a:lumMod val="50000"/>
                  </a:schemeClr>
                </a:solidFill>
              </a:defRPr>
            </a:pPr>
            <a:endParaRPr lang="el-GR"/>
          </a:p>
        </c:txPr>
        <c:crossAx val="161450624"/>
        <c:crosses val="autoZero"/>
        <c:auto val="1"/>
        <c:lblAlgn val="ctr"/>
        <c:lblOffset val="100"/>
        <c:noMultiLvlLbl val="0"/>
      </c:catAx>
      <c:valAx>
        <c:axId val="161450624"/>
        <c:scaling>
          <c:orientation val="minMax"/>
        </c:scaling>
        <c:delete val="0"/>
        <c:axPos val="l"/>
        <c:majorGridlines/>
        <c:minorGridlines>
          <c:spPr>
            <a:ln>
              <a:noFill/>
              <a:prstDash val="solid"/>
            </a:ln>
          </c:spPr>
        </c:minorGridlines>
        <c:numFmt formatCode="#,##0\ &quot;€&quot;" sourceLinked="0"/>
        <c:majorTickMark val="none"/>
        <c:minorTickMark val="none"/>
        <c:tickLblPos val="nextTo"/>
        <c:txPr>
          <a:bodyPr/>
          <a:lstStyle/>
          <a:p>
            <a:pPr>
              <a:defRPr sz="1200" b="1" baseline="0">
                <a:solidFill>
                  <a:schemeClr val="accent2">
                    <a:lumMod val="50000"/>
                  </a:schemeClr>
                </a:solidFill>
              </a:defRPr>
            </a:pPr>
            <a:endParaRPr lang="el-GR"/>
          </a:p>
        </c:txPr>
        <c:crossAx val="161448704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12</xdr:row>
          <xdr:rowOff>76200</xdr:rowOff>
        </xdr:from>
        <xdr:to>
          <xdr:col>0</xdr:col>
          <xdr:colOff>3171825</xdr:colOff>
          <xdr:row>14</xdr:row>
          <xdr:rowOff>133350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0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l-G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Εισαγωγή δεδομένων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104775</xdr:rowOff>
    </xdr:from>
    <xdr:to>
      <xdr:col>9</xdr:col>
      <xdr:colOff>523875</xdr:colOff>
      <xdr:row>25</xdr:row>
      <xdr:rowOff>184150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098796B-6A48-B422-99FC-6F04C15F0F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234950</xdr:rowOff>
    </xdr:from>
    <xdr:to>
      <xdr:col>9</xdr:col>
      <xdr:colOff>523875</xdr:colOff>
      <xdr:row>42</xdr:row>
      <xdr:rowOff>142875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4979F88-A229-EDC4-32DE-8AA53E39A5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36</xdr:row>
      <xdr:rowOff>173038</xdr:rowOff>
    </xdr:from>
    <xdr:ext cx="9144000" cy="4318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0</xdr:col>
      <xdr:colOff>155574</xdr:colOff>
      <xdr:row>54</xdr:row>
      <xdr:rowOff>146049</xdr:rowOff>
    </xdr:from>
    <xdr:ext cx="9144000" cy="4318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36</xdr:row>
      <xdr:rowOff>182563</xdr:rowOff>
    </xdr:from>
    <xdr:to>
      <xdr:col>5</xdr:col>
      <xdr:colOff>561975</xdr:colOff>
      <xdr:row>51</xdr:row>
      <xdr:rowOff>214313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241297</xdr:colOff>
      <xdr:row>52</xdr:row>
      <xdr:rowOff>88900</xdr:rowOff>
    </xdr:from>
    <xdr:to>
      <xdr:col>5</xdr:col>
      <xdr:colOff>565147</xdr:colOff>
      <xdr:row>93</xdr:row>
      <xdr:rowOff>6349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36</xdr:row>
      <xdr:rowOff>182563</xdr:rowOff>
    </xdr:from>
    <xdr:to>
      <xdr:col>5</xdr:col>
      <xdr:colOff>586317</xdr:colOff>
      <xdr:row>51</xdr:row>
      <xdr:rowOff>214313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142115</xdr:colOff>
      <xdr:row>52</xdr:row>
      <xdr:rowOff>181426</xdr:rowOff>
    </xdr:from>
    <xdr:to>
      <xdr:col>5</xdr:col>
      <xdr:colOff>1129393</xdr:colOff>
      <xdr:row>68</xdr:row>
      <xdr:rowOff>54429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35</xdr:row>
      <xdr:rowOff>457199</xdr:rowOff>
    </xdr:from>
    <xdr:ext cx="9886950" cy="49244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0</xdr:col>
      <xdr:colOff>19049</xdr:colOff>
      <xdr:row>54</xdr:row>
      <xdr:rowOff>190500</xdr:rowOff>
    </xdr:from>
    <xdr:ext cx="9682843" cy="485775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247649</xdr:colOff>
      <xdr:row>36</xdr:row>
      <xdr:rowOff>182561</xdr:rowOff>
    </xdr:from>
    <xdr:to>
      <xdr:col>5</xdr:col>
      <xdr:colOff>533399</xdr:colOff>
      <xdr:row>51</xdr:row>
      <xdr:rowOff>214311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297088</xdr:colOff>
      <xdr:row>53</xdr:row>
      <xdr:rowOff>64406</xdr:rowOff>
    </xdr:from>
    <xdr:to>
      <xdr:col>5</xdr:col>
      <xdr:colOff>573313</xdr:colOff>
      <xdr:row>73</xdr:row>
      <xdr:rowOff>21316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6</xdr:col>
      <xdr:colOff>288471</xdr:colOff>
      <xdr:row>41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1F5BEA-F54F-4384-90E3-DCE5D6187E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18</xdr:row>
      <xdr:rowOff>117475</xdr:rowOff>
    </xdr:from>
    <xdr:to>
      <xdr:col>9</xdr:col>
      <xdr:colOff>654050</xdr:colOff>
      <xdr:row>38</xdr:row>
      <xdr:rowOff>117475</xdr:rowOff>
    </xdr:to>
    <xdr:graphicFrame macro="">
      <xdr:nvGraphicFramePr>
        <xdr:cNvPr id="2" name="ch_Word_Battery_Compact">
          <a:extLst>
            <a:ext uri="{FF2B5EF4-FFF2-40B4-BE49-F238E27FC236}">
              <a16:creationId xmlns:a16="http://schemas.microsoft.com/office/drawing/2014/main" id="{C83CEB0F-5EBB-CEA9-F9D7-B3AC577D3D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25</xdr:row>
      <xdr:rowOff>128586</xdr:rowOff>
    </xdr:from>
    <xdr:to>
      <xdr:col>9</xdr:col>
      <xdr:colOff>561976</xdr:colOff>
      <xdr:row>43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17</xdr:row>
      <xdr:rowOff>117475</xdr:rowOff>
    </xdr:from>
    <xdr:to>
      <xdr:col>9</xdr:col>
      <xdr:colOff>654050</xdr:colOff>
      <xdr:row>37</xdr:row>
      <xdr:rowOff>117475</xdr:rowOff>
    </xdr:to>
    <xdr:graphicFrame macro="">
      <xdr:nvGraphicFramePr>
        <xdr:cNvPr id="2" name="ch_Word_Battery_Compact">
          <a:extLst>
            <a:ext uri="{FF2B5EF4-FFF2-40B4-BE49-F238E27FC236}">
              <a16:creationId xmlns:a16="http://schemas.microsoft.com/office/drawing/2014/main" id="{59F4F6AF-EBBF-EB5C-48E5-8C1B406EAE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25</xdr:row>
      <xdr:rowOff>128586</xdr:rowOff>
    </xdr:from>
    <xdr:to>
      <xdr:col>9</xdr:col>
      <xdr:colOff>523876</xdr:colOff>
      <xdr:row>43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18</xdr:row>
      <xdr:rowOff>117475</xdr:rowOff>
    </xdr:from>
    <xdr:to>
      <xdr:col>9</xdr:col>
      <xdr:colOff>654050</xdr:colOff>
      <xdr:row>38</xdr:row>
      <xdr:rowOff>117475</xdr:rowOff>
    </xdr:to>
    <xdr:graphicFrame macro="">
      <xdr:nvGraphicFramePr>
        <xdr:cNvPr id="2" name="ch_Word_Battery_Compact">
          <a:extLst>
            <a:ext uri="{FF2B5EF4-FFF2-40B4-BE49-F238E27FC236}">
              <a16:creationId xmlns:a16="http://schemas.microsoft.com/office/drawing/2014/main" id="{F6159085-1D03-3551-BF58-13CBFAF8C1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25</xdr:row>
      <xdr:rowOff>128586</xdr:rowOff>
    </xdr:from>
    <xdr:to>
      <xdr:col>9</xdr:col>
      <xdr:colOff>561976</xdr:colOff>
      <xdr:row>43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17</xdr:row>
      <xdr:rowOff>117475</xdr:rowOff>
    </xdr:from>
    <xdr:to>
      <xdr:col>9</xdr:col>
      <xdr:colOff>654050</xdr:colOff>
      <xdr:row>37</xdr:row>
      <xdr:rowOff>117475</xdr:rowOff>
    </xdr:to>
    <xdr:graphicFrame macro="">
      <xdr:nvGraphicFramePr>
        <xdr:cNvPr id="2" name="ch_Word_Battery_Compact">
          <a:extLst>
            <a:ext uri="{FF2B5EF4-FFF2-40B4-BE49-F238E27FC236}">
              <a16:creationId xmlns:a16="http://schemas.microsoft.com/office/drawing/2014/main" id="{EFDC93EF-E5D2-DC8D-712C-C49B7ABCD2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25</xdr:row>
      <xdr:rowOff>128586</xdr:rowOff>
    </xdr:from>
    <xdr:to>
      <xdr:col>11</xdr:col>
      <xdr:colOff>553640</xdr:colOff>
      <xdr:row>48</xdr:row>
      <xdr:rowOff>89296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18</xdr:row>
      <xdr:rowOff>117475</xdr:rowOff>
    </xdr:from>
    <xdr:to>
      <xdr:col>9</xdr:col>
      <xdr:colOff>654050</xdr:colOff>
      <xdr:row>38</xdr:row>
      <xdr:rowOff>117475</xdr:rowOff>
    </xdr:to>
    <xdr:graphicFrame macro="">
      <xdr:nvGraphicFramePr>
        <xdr:cNvPr id="2" name="ch_Word_Battery_Compact">
          <a:extLst>
            <a:ext uri="{FF2B5EF4-FFF2-40B4-BE49-F238E27FC236}">
              <a16:creationId xmlns:a16="http://schemas.microsoft.com/office/drawing/2014/main" id="{8A819D14-5249-E7AE-7CE2-46927BC08C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25</xdr:row>
      <xdr:rowOff>128586</xdr:rowOff>
    </xdr:from>
    <xdr:to>
      <xdr:col>11</xdr:col>
      <xdr:colOff>553640</xdr:colOff>
      <xdr:row>48</xdr:row>
      <xdr:rowOff>89296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71438</xdr:colOff>
      <xdr:row>100</xdr:row>
      <xdr:rowOff>35719</xdr:rowOff>
    </xdr:from>
    <xdr:to>
      <xdr:col>12</xdr:col>
      <xdr:colOff>440531</xdr:colOff>
      <xdr:row>134</xdr:row>
      <xdr:rowOff>130969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53578</xdr:colOff>
      <xdr:row>100</xdr:row>
      <xdr:rowOff>98820</xdr:rowOff>
    </xdr:from>
    <xdr:to>
      <xdr:col>23</xdr:col>
      <xdr:colOff>238125</xdr:colOff>
      <xdr:row>127</xdr:row>
      <xdr:rowOff>107156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9FEE6D9-2684-7A66-F613-CD9C72CFEB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26</xdr:row>
      <xdr:rowOff>166686</xdr:rowOff>
    </xdr:from>
    <xdr:to>
      <xdr:col>9</xdr:col>
      <xdr:colOff>561976</xdr:colOff>
      <xdr:row>45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224517</xdr:colOff>
      <xdr:row>1</xdr:row>
      <xdr:rowOff>136071</xdr:rowOff>
    </xdr:from>
    <xdr:to>
      <xdr:col>14</xdr:col>
      <xdr:colOff>666749</xdr:colOff>
      <xdr:row>29</xdr:row>
      <xdr:rowOff>74839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_Scenaria_Katan_Epid" displayName="tbl_Scenaria_Katan_Epid" ref="A11:U86" totalsRowShown="0" headerRowDxfId="40" dataDxfId="39">
  <autoFilter ref="A11:U86" xr:uid="{00000000-0009-0000-0100-000001000000}"/>
  <sortState xmlns:xlrd2="http://schemas.microsoft.com/office/spreadsheetml/2017/richdata2" ref="A12:U86">
    <sortCondition ref="A11:A86"/>
  </sortState>
  <tableColumns count="21">
    <tableColumn id="1" xr3:uid="{00000000-0010-0000-0000-000001000000}" name="ID" dataDxfId="38"/>
    <tableColumn id="2" xr3:uid="{00000000-0010-0000-0000-000002000000}" name="Αύξηση κατανάλωσης %" dataDxfId="37">
      <calculatedColumnFormula>INDEX($A$5:$A$9,INT((ROW()-12)/15)+1)</calculatedColumnFormula>
    </tableColumn>
    <tableColumn id="3" xr3:uid="{00000000-0010-0000-0000-000003000000}" name="Συντελεστής κατανάλωσης" dataDxfId="36">
      <calculatedColumnFormula>INDEX($B$5:$B$9,INT((ROW()-12)/15)+1)</calculatedColumnFormula>
    </tableColumn>
    <tableColumn id="4" xr3:uid="{00000000-0010-0000-0000-000004000000}" name="Επιδότηση μπαταρίας %" dataDxfId="35">
      <calculatedColumnFormula>INDEX($D$5:$D$7,INT(MOD(ROW()-12,15)/5)+1)</calculatedColumnFormula>
    </tableColumn>
    <tableColumn id="5" xr3:uid="{00000000-0010-0000-0000-000005000000}" name="Σενάριο μπαταρίας" dataDxfId="34"/>
    <tableColumn id="6" xr3:uid="{00000000-0010-0000-0000-000006000000}" name="Μπαταρία kWh" dataDxfId="33"/>
    <tableColumn id="7" xr3:uid="{00000000-0010-0000-0000-000007000000}" name="Όριο kWh/μήνα" dataDxfId="32"/>
    <tableColumn id="8" xr3:uid="{00000000-0010-0000-0000-000008000000}" name="Ισχύς ΦΒ kWp" dataDxfId="31"/>
    <tableColumn id="9" xr3:uid="{00000000-0010-0000-0000-000009000000}" name="Κατανάλωση kWh" dataDxfId="30">
      <calculatedColumnFormula>SUM('Απόδοση Εγκατάστασης'!$D$8:$D$19)*C12</calculatedColumnFormula>
    </tableColumn>
    <tableColumn id="10" xr3:uid="{00000000-0010-0000-0000-00000A000000}" name="Παραγωγή kWh" dataDxfId="29">
      <calculatedColumnFormula>H12*ι_Μοντέλο_Ελέγχου_α!$B$14</calculatedColumnFormula>
    </tableColumn>
    <tableColumn id="11" xr3:uid="{00000000-0010-0000-0000-00000B000000}" name="Αυτοκατανάλωση kWh" dataDxfId="28">
      <calculatedColumnFormula>AnnualSelfConsumptionWithBattery(H12,ι_Μοντέλο_Ελέγχου_α!$B$22:$B$33,'Απόδοση Εγκατάστασης'!$D$8:$D$19,ι_Μοντέλο_Ελέγχου_α!$D$22:$D$33,G12,C12)</calculatedColumnFormula>
    </tableColumn>
    <tableColumn id="12" xr3:uid="{00000000-0010-0000-0000-00000C000000}" name="Αγοραζόμενες kWh" dataDxfId="27">
      <calculatedColumnFormula>I12-K12</calculatedColumnFormula>
    </tableColumn>
    <tableColumn id="13" xr3:uid="{00000000-0010-0000-0000-00000D000000}" name="Περίσσεια kWh" dataDxfId="26">
      <calculatedColumnFormula>MAX(J12-K12,0)</calculatedColumnFormula>
    </tableColumn>
    <tableColumn id="14" xr3:uid="{00000000-0010-0000-0000-00000E000000}" name="CAPEX ΦΒ €" dataDxfId="25">
      <calculatedColumnFormula>H12*ι_Μοντέλο_Ελέγχου_α!$B$7</calculatedColumnFormula>
    </tableColumn>
    <tableColumn id="15" xr3:uid="{00000000-0010-0000-0000-00000F000000}" name="CAPEX μπαταρίας €" dataDxfId="24">
      <calculatedColumnFormula>F12/2.5*ι_Μοντέλο_Ελέγχου_α!$B$18*(1-D12)</calculatedColumnFormula>
    </tableColumn>
    <tableColumn id="16" xr3:uid="{00000000-0010-0000-0000-000010000000}" name="Συνολικό CAPEX €" dataDxfId="23">
      <calculatedColumnFormula>N12+O12</calculatedColumnFormula>
    </tableColumn>
    <tableColumn id="17" xr3:uid="{00000000-0010-0000-0000-000011000000}" name="Όφελος αυτοκατανάλωσης €" dataDxfId="22">
      <calculatedColumnFormula>K12*ι_Μοντέλο_Ελέγχου_α!$B$8</calculatedColumnFormula>
    </tableColumn>
    <tableColumn id="18" xr3:uid="{00000000-0010-0000-0000-000012000000}" name="Αποζημίωση περίσσειας €" dataDxfId="21">
      <calculatedColumnFormula>M12*ι_Μοντέλο_Ελέγχου_α!$B$9</calculatedColumnFormula>
    </tableColumn>
    <tableColumn id="19" xr3:uid="{00000000-0010-0000-0000-000013000000}" name="Ετήσιο όφελος €" dataDxfId="20">
      <calculatedColumnFormula>Q12+R12</calculatedColumnFormula>
    </tableColumn>
    <tableColumn id="20" xr3:uid="{00000000-0010-0000-0000-000014000000}" name="PBP" dataDxfId="19">
      <calculatedColumnFormula>IFERROR(P12/S12,NA())</calculatedColumnFormula>
    </tableColumn>
    <tableColumn id="21" xr3:uid="{00000000-0010-0000-0000-000015000000}" name="DPP" dataDxfId="18">
      <calculatedColumnFormula>IFERROR(-LN(1-P12*ι_Μοντέλο_Ελέγχου_α!$B$10/S12)/LN(1+ι_Μοντέλο_Ελέγχου_α!$B$10),NA())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3:J44" totalsRowShown="0" headerRowDxfId="15" dataDxfId="14" tableBorderDxfId="13">
  <autoFilter ref="A3:J44" xr:uid="{00000000-0009-0000-0100-000002000000}">
    <filterColumn colId="5">
      <filters>
        <filter val="1"/>
        <filter val="22.00"/>
        <filter val="24"/>
        <filter val="32"/>
        <filter val="8"/>
      </filters>
    </filterColumn>
  </autoFilter>
  <sortState xmlns:xlrd2="http://schemas.microsoft.com/office/spreadsheetml/2017/richdata2" ref="A9:J42">
    <sortCondition sortBy="cellColor" ref="B4:B44" dxfId="12"/>
    <sortCondition sortBy="cellColor" ref="B4:B44" dxfId="11"/>
    <sortCondition sortBy="cellColor" ref="B4:B44" dxfId="10"/>
  </sortState>
  <tableColumns count="10">
    <tableColumn id="1" xr3:uid="{00000000-0010-0000-0100-000001000000}" name="Α/Α" dataDxfId="9"/>
    <tableColumn id="2" xr3:uid="{00000000-0010-0000-0100-000002000000}" name="ΕΙΔΟΣ" dataDxfId="8"/>
    <tableColumn id="3" xr3:uid="{00000000-0010-0000-0100-000003000000}" name="Τύπος" dataDxfId="7"/>
    <tableColumn id="4" xr3:uid="{00000000-0010-0000-0100-000004000000}" name="ΙΣΧΥΣ" dataDxfId="6"/>
    <tableColumn id="5" xr3:uid="{00000000-0010-0000-0100-000005000000}" name="ΜΜ" dataDxfId="5"/>
    <tableColumn id="6" xr3:uid="{00000000-0010-0000-0100-000006000000}" name="Ποσότητα" dataDxfId="4"/>
    <tableColumn id="7" xr3:uid="{00000000-0010-0000-0100-000007000000}" name="Σύνολο Ισχύος" dataDxfId="3"/>
    <tableColumn id="8" xr3:uid="{00000000-0010-0000-0100-000008000000}" name="TIMH /MM" dataDxfId="2"/>
    <tableColumn id="9" xr3:uid="{00000000-0010-0000-0100-000009000000}" name="Έκπτωση" dataDxfId="1"/>
    <tableColumn id="10" xr3:uid="{00000000-0010-0000-0100-00000A000000}" name="ΣΥΝΟΛΟ" dataDxfId="0">
      <calculatedColumnFormula>H4*F4*(1-I4)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2D141-136F-4D34-82BF-E5A51B91ED7C}">
  <sheetPr codeName="Sheet1">
    <tabColor rgb="FF0D0D0D"/>
  </sheetPr>
  <dimension ref="A1:A10"/>
  <sheetViews>
    <sheetView tabSelected="1" workbookViewId="0">
      <selection activeCell="K10" sqref="K10"/>
    </sheetView>
  </sheetViews>
  <sheetFormatPr defaultRowHeight="15" x14ac:dyDescent="0.25"/>
  <cols>
    <col min="1" max="1" width="118.7109375" customWidth="1"/>
  </cols>
  <sheetData>
    <row r="1" spans="1:1" ht="28.5" x14ac:dyDescent="0.45">
      <c r="A1" s="270" t="s">
        <v>494</v>
      </c>
    </row>
    <row r="2" spans="1:1" x14ac:dyDescent="0.25">
      <c r="A2" t="s">
        <v>495</v>
      </c>
    </row>
    <row r="3" spans="1:1" x14ac:dyDescent="0.25">
      <c r="A3" t="s">
        <v>496</v>
      </c>
    </row>
    <row r="5" spans="1:1" x14ac:dyDescent="0.25">
      <c r="A5" s="271" t="s">
        <v>497</v>
      </c>
    </row>
    <row r="6" spans="1:1" x14ac:dyDescent="0.25">
      <c r="A6" t="s">
        <v>498</v>
      </c>
    </row>
    <row r="7" spans="1:1" x14ac:dyDescent="0.25">
      <c r="A7" t="s">
        <v>499</v>
      </c>
    </row>
    <row r="8" spans="1:1" x14ac:dyDescent="0.25">
      <c r="A8" t="s">
        <v>500</v>
      </c>
    </row>
    <row r="10" spans="1:1" x14ac:dyDescent="0.25">
      <c r="A10" s="272" t="s">
        <v>501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ShowInputForm">
                <anchor moveWithCells="1" sizeWithCells="1">
                  <from>
                    <xdr:col>0</xdr:col>
                    <xdr:colOff>381000</xdr:colOff>
                    <xdr:row>12</xdr:row>
                    <xdr:rowOff>76200</xdr:rowOff>
                  </from>
                  <to>
                    <xdr:col>0</xdr:col>
                    <xdr:colOff>3171825</xdr:colOff>
                    <xdr:row>14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4">
    <pageSetUpPr fitToPage="1"/>
  </sheetPr>
  <dimension ref="A1:O55"/>
  <sheetViews>
    <sheetView showGridLines="0" zoomScale="60" zoomScaleNormal="60" workbookViewId="0">
      <selection activeCell="B5" sqref="B5:B9"/>
    </sheetView>
  </sheetViews>
  <sheetFormatPr defaultColWidth="74.7109375" defaultRowHeight="15" x14ac:dyDescent="0.25"/>
  <cols>
    <col min="1" max="1" width="7.28515625" style="227" bestFit="1" customWidth="1"/>
    <col min="2" max="2" width="94.140625" style="227" customWidth="1"/>
    <col min="3" max="3" width="8.42578125" style="227" bestFit="1" customWidth="1"/>
    <col min="4" max="4" width="11.140625" style="227" bestFit="1" customWidth="1"/>
    <col min="5" max="5" width="9.7109375" style="227" bestFit="1" customWidth="1"/>
    <col min="6" max="6" width="8.28515625" style="227" bestFit="1" customWidth="1"/>
    <col min="7" max="10" width="13.28515625" style="227" bestFit="1" customWidth="1"/>
    <col min="11" max="11" width="30.140625" style="227" bestFit="1" customWidth="1"/>
    <col min="12" max="12" width="92" style="227" bestFit="1" customWidth="1"/>
    <col min="13" max="13" width="17" style="227" bestFit="1" customWidth="1"/>
    <col min="14" max="14" width="8.28515625" style="227" bestFit="1" customWidth="1"/>
    <col min="15" max="15" width="14" style="227" bestFit="1" customWidth="1"/>
    <col min="16" max="16384" width="74.7109375" style="227"/>
  </cols>
  <sheetData>
    <row r="1" spans="1:15" s="226" customFormat="1" ht="18" x14ac:dyDescent="0.25">
      <c r="A1" s="235"/>
      <c r="B1" s="236" t="s">
        <v>146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8"/>
    </row>
    <row r="2" spans="1:15" x14ac:dyDescent="0.25">
      <c r="A2" s="239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240"/>
    </row>
    <row r="3" spans="1:15" x14ac:dyDescent="0.25">
      <c r="A3" s="241"/>
      <c r="B3" s="242" t="s">
        <v>147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3"/>
      <c r="N3" s="243"/>
      <c r="O3" s="244"/>
    </row>
    <row r="4" spans="1:15" ht="39.75" customHeight="1" x14ac:dyDescent="0.25">
      <c r="A4" s="228" t="s">
        <v>148</v>
      </c>
      <c r="B4" s="228" t="s">
        <v>149</v>
      </c>
      <c r="C4" s="228" t="s">
        <v>59</v>
      </c>
      <c r="D4" s="228" t="s">
        <v>89</v>
      </c>
      <c r="E4" s="228" t="s">
        <v>90</v>
      </c>
      <c r="F4" s="228" t="s">
        <v>150</v>
      </c>
      <c r="G4" s="228" t="s">
        <v>151</v>
      </c>
      <c r="H4" s="228" t="s">
        <v>152</v>
      </c>
      <c r="I4" s="228" t="s">
        <v>153</v>
      </c>
      <c r="J4" s="228" t="s">
        <v>154</v>
      </c>
      <c r="K4" s="228" t="s">
        <v>94</v>
      </c>
      <c r="L4" s="228" t="s">
        <v>155</v>
      </c>
      <c r="M4" s="229" t="s">
        <v>486</v>
      </c>
      <c r="N4" s="229" t="s">
        <v>150</v>
      </c>
      <c r="O4" s="229" t="s">
        <v>487</v>
      </c>
    </row>
    <row r="5" spans="1:15" ht="39.75" customHeight="1" x14ac:dyDescent="0.25">
      <c r="A5" s="228" t="s">
        <v>27</v>
      </c>
      <c r="B5" s="230" t="s">
        <v>156</v>
      </c>
      <c r="C5" s="231">
        <f>ε_Ευαισθησία_Κόστους_ΦΒ!$B$10</f>
        <v>6.7869833666614605</v>
      </c>
      <c r="D5" s="231">
        <f>MIN(ε_Ευαισθησία_Κόστους_ΦΒ!$D$15:$D$25)</f>
        <v>6.7869833666614596</v>
      </c>
      <c r="E5" s="231">
        <f>MAX(ε_Ευαισθησία_Κόστους_ΦΒ!$D$15:$D$25)</f>
        <v>10.556081628055461</v>
      </c>
      <c r="F5" s="231">
        <f>E5-D5</f>
        <v>3.7690982613940012</v>
      </c>
      <c r="G5" s="232">
        <f>ε_Ευαισθησία_Κόστους_ΦΒ!$C$15</f>
        <v>19219.851851008301</v>
      </c>
      <c r="H5" s="232">
        <f>MIN(ε_Ευαισθησία_Κόστους_ΦΒ!$C$15:$C$25)</f>
        <v>14655.851851008301</v>
      </c>
      <c r="I5" s="232">
        <f>MAX(ε_Ευαισθησία_Κόστους_ΦΒ!$C$15:$C$25)</f>
        <v>19219.851851008301</v>
      </c>
      <c r="J5" s="232">
        <f>I5-H5</f>
        <v>4564</v>
      </c>
      <c r="K5" s="231">
        <f>ε_Ευαισθησία_Κόστους_ΦΒ!$B$36</f>
        <v>1.0918912004047849</v>
      </c>
      <c r="L5" s="230" t="s">
        <v>157</v>
      </c>
      <c r="M5" s="233" t="s">
        <v>50</v>
      </c>
      <c r="N5" s="234">
        <f>F5</f>
        <v>3.7690982613940012</v>
      </c>
      <c r="O5" s="234">
        <f>K5</f>
        <v>1.0918912004047849</v>
      </c>
    </row>
    <row r="6" spans="1:15" ht="39.75" customHeight="1" x14ac:dyDescent="0.25">
      <c r="A6" s="228" t="s">
        <v>30</v>
      </c>
      <c r="B6" s="230" t="s">
        <v>158</v>
      </c>
      <c r="C6" s="231">
        <f>η_Ευαισθησία_Ταυτοχρονισμού!$B$10</f>
        <v>6.7869833666614605</v>
      </c>
      <c r="D6" s="231">
        <f>MIN(η_Ευαισθησία_Ταυτοχρονισμού!$D$15:$D$25)</f>
        <v>5.6294251010465626</v>
      </c>
      <c r="E6" s="231">
        <f>MAX(η_Ευαισθησία_Ταυτοχρονισμού!$D$15:$D$25)</f>
        <v>6.7869833666614614</v>
      </c>
      <c r="F6" s="231">
        <f>E6-D6</f>
        <v>1.1575582656148988</v>
      </c>
      <c r="G6" s="232">
        <f>η_Ευαισθησία_Ταυτοχρονισμού!$C$15</f>
        <v>19219.851851008301</v>
      </c>
      <c r="H6" s="232">
        <f>MIN(η_Ευαισθησία_Ταυτοχρονισμού!$C$15:$C$25)</f>
        <v>19219.851851008301</v>
      </c>
      <c r="I6" s="232">
        <f>MAX(η_Ευαισθησία_Ταυτοχρονισμού!$C$15:$C$25)</f>
        <v>24672.753244080886</v>
      </c>
      <c r="J6" s="232">
        <f>I6-H6</f>
        <v>5452.9013930725851</v>
      </c>
      <c r="K6" s="231">
        <f>η_Ευαισθησία_Ταυτοχρονισμού!$B$36</f>
        <v>0.39188751917154308</v>
      </c>
      <c r="L6" s="230" t="s">
        <v>159</v>
      </c>
      <c r="M6" s="233" t="s">
        <v>44</v>
      </c>
      <c r="N6" s="234">
        <f>F6</f>
        <v>1.1575582656148988</v>
      </c>
      <c r="O6" s="234">
        <f>K6</f>
        <v>0.39188751917154308</v>
      </c>
    </row>
    <row r="7" spans="1:15" ht="39.75" customHeight="1" x14ac:dyDescent="0.25">
      <c r="A7" s="228" t="s">
        <v>31</v>
      </c>
      <c r="B7" s="230" t="s">
        <v>160</v>
      </c>
      <c r="C7" s="231">
        <f>ζ_Ευαισθησία_Τιμής_kWh!$B$10</f>
        <v>6.7869833666614605</v>
      </c>
      <c r="D7" s="231">
        <f>MIN(ζ_Ευαισθησία_Τιμής_kWh!$D$15:$D$25)</f>
        <v>5.5525995319526027</v>
      </c>
      <c r="E7" s="231">
        <f>MAX(ζ_Ευαισθησία_Τιμής_kWh!$D$15:$D$25)</f>
        <v>6.7869833666614596</v>
      </c>
      <c r="F7" s="231">
        <f>E7-D7</f>
        <v>1.2343838347088569</v>
      </c>
      <c r="G7" s="232">
        <f>ζ_Ευαισθησία_Τιμής_kWh!$C$15</f>
        <v>19219.851851008301</v>
      </c>
      <c r="H7" s="232">
        <f>MIN(ζ_Ευαισθησία_Τιμής_kWh!$C$15:$C$25)</f>
        <v>19219.851851008301</v>
      </c>
      <c r="I7" s="232">
        <f>MAX(ζ_Ευαισθησία_Τιμής_kWh!$C$15:$C$25)</f>
        <v>25115.832231711975</v>
      </c>
      <c r="J7" s="232">
        <f>I7-H7</f>
        <v>5895.9803807036733</v>
      </c>
      <c r="K7" s="231">
        <f>ζ_Ευαισθησία_Τιμής_kWh!$B$36</f>
        <v>0.39751935288506535</v>
      </c>
      <c r="L7" s="230" t="s">
        <v>161</v>
      </c>
      <c r="M7" s="233" t="s">
        <v>488</v>
      </c>
      <c r="N7" s="234">
        <f>F7</f>
        <v>1.2343838347088569</v>
      </c>
      <c r="O7" s="234">
        <f>K7</f>
        <v>0.39751935288506535</v>
      </c>
    </row>
    <row r="8" spans="1:15" ht="39.75" customHeight="1" x14ac:dyDescent="0.25">
      <c r="A8" s="228" t="s">
        <v>32</v>
      </c>
      <c r="B8" s="230" t="s">
        <v>162</v>
      </c>
      <c r="C8" s="231">
        <f>ιε_Τιμή_Αγοράς_kWh!$B$10</f>
        <v>6.7869833666614605</v>
      </c>
      <c r="D8" s="231">
        <f>MIN(ιε_Τιμή_Αγοράς_kWh!$D$15:$D$25)</f>
        <v>5.1714465455725929</v>
      </c>
      <c r="E8" s="231">
        <f>MAX(ιε_Τιμή_Αγοράς_kWh!$D$15:$D$25)</f>
        <v>9.8743021523609311</v>
      </c>
      <c r="F8" s="231">
        <f>E8-D8</f>
        <v>4.7028556067883382</v>
      </c>
      <c r="G8" s="232">
        <f>ιε_Τιμή_Αγοράς_kWh!$C$20</f>
        <v>19219.851851008301</v>
      </c>
      <c r="H8" s="232">
        <f>MIN(ιε_Τιμή_Αγοράς_kWh!$C$15:$C$25)</f>
        <v>10941.906306207824</v>
      </c>
      <c r="I8" s="232">
        <f>MAX(ιε_Τιμή_Αγοράς_kWh!$C$15:$C$25)</f>
        <v>27497.797395808782</v>
      </c>
      <c r="J8" s="232">
        <f>I8-H8</f>
        <v>16555.891089600958</v>
      </c>
      <c r="K8" s="231">
        <f>ιε_Τιμή_Αγοράς_kWh!$B$36</f>
        <v>0.65394000160217947</v>
      </c>
      <c r="L8" s="230" t="s">
        <v>163</v>
      </c>
      <c r="M8" s="233" t="s">
        <v>162</v>
      </c>
      <c r="N8" s="234">
        <f>F8</f>
        <v>4.7028556067883382</v>
      </c>
      <c r="O8" s="234">
        <f>K8</f>
        <v>0.65394000160217947</v>
      </c>
    </row>
    <row r="9" spans="1:15" ht="39.75" customHeight="1" x14ac:dyDescent="0.25">
      <c r="A9" s="228" t="s">
        <v>34</v>
      </c>
      <c r="B9" s="230" t="s">
        <v>43</v>
      </c>
      <c r="C9" s="231">
        <f>δ_Ευαισθησία_Επιτοκίου!$B$10</f>
        <v>6.7869833666614605</v>
      </c>
      <c r="D9" s="231">
        <f>MIN(δ_Ευαισθησία_Επιτοκίου!$C$15:$C$25)</f>
        <v>6.2865472709373762</v>
      </c>
      <c r="E9" s="231">
        <f>MAX(δ_Ευαισθησία_Επιτοκίου!$C$15:$C$25)</f>
        <v>10.405085981361664</v>
      </c>
      <c r="F9" s="231">
        <f>E9-D9</f>
        <v>4.1185387104242874</v>
      </c>
      <c r="G9" s="232">
        <f>δ_Ευαισθησία_Επιτοκίου!$B$17</f>
        <v>19219.851851008301</v>
      </c>
      <c r="H9" s="232">
        <f>MIN(δ_Ευαισθησία_Επιτοκίου!$B$15:$B$25)</f>
        <v>4051.765889844839</v>
      </c>
      <c r="I9" s="232">
        <f>MAX(δ_Ευαισθησία_Επιτοκίου!$B$15:$B$25)</f>
        <v>27171.735000000001</v>
      </c>
      <c r="J9" s="232">
        <f>I9-H9</f>
        <v>23119.969110155162</v>
      </c>
      <c r="K9" s="231">
        <f>δ_Ευαισθησία_Επιτοκίου!$B$36</f>
        <v>9.894630162472598E-2</v>
      </c>
      <c r="L9" s="230" t="s">
        <v>164</v>
      </c>
      <c r="M9" s="233" t="s">
        <v>268</v>
      </c>
      <c r="N9" s="234">
        <f>F9</f>
        <v>4.1185387104242874</v>
      </c>
      <c r="O9" s="234">
        <f>K9</f>
        <v>9.894630162472598E-2</v>
      </c>
    </row>
    <row r="10" spans="1:15" x14ac:dyDescent="0.25">
      <c r="A10" s="225"/>
      <c r="B10" s="225"/>
      <c r="C10" s="225"/>
      <c r="D10" s="225"/>
      <c r="E10" s="225"/>
      <c r="F10" s="225"/>
      <c r="G10" s="225"/>
      <c r="H10" s="225"/>
      <c r="I10" s="225"/>
      <c r="J10" s="225"/>
      <c r="K10" s="225"/>
      <c r="L10" s="225"/>
      <c r="M10" s="15"/>
      <c r="N10" s="15"/>
      <c r="O10" s="15"/>
    </row>
    <row r="11" spans="1:15" x14ac:dyDescent="0.25">
      <c r="A11" s="225"/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15"/>
      <c r="N11" s="15"/>
      <c r="O11" s="15"/>
    </row>
    <row r="12" spans="1:15" x14ac:dyDescent="0.25">
      <c r="A12" s="225"/>
      <c r="B12" s="225"/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15"/>
      <c r="N12" s="15"/>
      <c r="O12" s="15"/>
    </row>
    <row r="13" spans="1:15" x14ac:dyDescent="0.25">
      <c r="A13" s="225"/>
      <c r="B13" s="225"/>
      <c r="C13" s="225"/>
      <c r="D13" s="225"/>
      <c r="E13" s="225"/>
      <c r="F13" s="225"/>
      <c r="G13" s="225"/>
      <c r="H13" s="225"/>
      <c r="I13" s="225"/>
      <c r="J13" s="225"/>
      <c r="K13" s="225"/>
      <c r="L13" s="225"/>
      <c r="M13" s="15"/>
      <c r="N13" s="15"/>
      <c r="O13" s="15"/>
    </row>
    <row r="14" spans="1:15" x14ac:dyDescent="0.25">
      <c r="A14" s="225"/>
      <c r="B14" s="225"/>
      <c r="C14" s="225"/>
      <c r="D14" s="225"/>
      <c r="E14" s="225"/>
      <c r="F14" s="225"/>
      <c r="G14" s="225"/>
      <c r="H14" s="225"/>
      <c r="I14" s="225"/>
      <c r="J14" s="225"/>
      <c r="K14" s="225"/>
      <c r="L14" s="225"/>
      <c r="M14" s="15"/>
      <c r="N14" s="15"/>
      <c r="O14" s="15"/>
    </row>
    <row r="15" spans="1:15" x14ac:dyDescent="0.25">
      <c r="A15" s="225"/>
      <c r="B15" s="225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15"/>
      <c r="N15" s="15"/>
      <c r="O15" s="15"/>
    </row>
    <row r="16" spans="1:15" x14ac:dyDescent="0.25">
      <c r="A16" s="225"/>
      <c r="B16" s="225"/>
      <c r="C16" s="225"/>
      <c r="D16" s="225"/>
      <c r="E16" s="225"/>
      <c r="F16" s="225"/>
      <c r="G16" s="225"/>
      <c r="H16" s="225"/>
      <c r="I16" s="225"/>
      <c r="J16" s="225"/>
      <c r="K16" s="225"/>
      <c r="L16" s="225"/>
      <c r="M16" s="15"/>
      <c r="N16" s="15"/>
      <c r="O16" s="15"/>
    </row>
    <row r="17" spans="1:15" x14ac:dyDescent="0.25">
      <c r="A17" s="225"/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15"/>
      <c r="N17" s="15"/>
      <c r="O17" s="15"/>
    </row>
    <row r="18" spans="1:15" x14ac:dyDescent="0.25">
      <c r="A18" s="225"/>
      <c r="B18" s="225"/>
      <c r="C18" s="225"/>
      <c r="D18" s="225"/>
      <c r="E18" s="225"/>
      <c r="F18" s="225"/>
      <c r="G18" s="225"/>
      <c r="H18" s="225"/>
      <c r="I18" s="225"/>
      <c r="J18" s="225"/>
      <c r="K18" s="225"/>
      <c r="L18" s="225"/>
      <c r="M18" s="15"/>
      <c r="N18" s="15"/>
      <c r="O18" s="15"/>
    </row>
    <row r="19" spans="1:15" x14ac:dyDescent="0.25">
      <c r="A19" s="225"/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5"/>
      <c r="M19" s="15"/>
      <c r="N19" s="15"/>
      <c r="O19" s="15"/>
    </row>
    <row r="20" spans="1:15" x14ac:dyDescent="0.25">
      <c r="A20" s="225"/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5"/>
      <c r="M20" s="15"/>
      <c r="N20" s="15"/>
      <c r="O20" s="15"/>
    </row>
    <row r="21" spans="1:15" x14ac:dyDescent="0.25">
      <c r="A21" s="225"/>
      <c r="B21" s="225"/>
      <c r="C21" s="225"/>
      <c r="D21" s="225"/>
      <c r="E21" s="225"/>
      <c r="F21" s="225"/>
      <c r="G21" s="225"/>
      <c r="H21" s="225"/>
      <c r="I21" s="225"/>
      <c r="J21" s="225"/>
      <c r="K21" s="225"/>
      <c r="L21" s="225"/>
      <c r="M21" s="15"/>
      <c r="N21" s="15"/>
      <c r="O21" s="15"/>
    </row>
    <row r="22" spans="1:15" x14ac:dyDescent="0.25">
      <c r="A22" s="225"/>
      <c r="B22" s="225"/>
      <c r="C22" s="225"/>
      <c r="D22" s="225"/>
      <c r="E22" s="225"/>
      <c r="F22" s="225"/>
      <c r="G22" s="225"/>
      <c r="H22" s="225"/>
      <c r="I22" s="225"/>
      <c r="J22" s="225"/>
      <c r="K22" s="225"/>
      <c r="L22" s="225"/>
      <c r="M22" s="15"/>
      <c r="N22" s="15"/>
      <c r="O22" s="15"/>
    </row>
    <row r="23" spans="1:15" x14ac:dyDescent="0.25">
      <c r="A23" s="225"/>
      <c r="B23" s="225"/>
      <c r="C23" s="225"/>
      <c r="D23" s="225"/>
      <c r="E23" s="225"/>
      <c r="F23" s="225"/>
      <c r="G23" s="225"/>
      <c r="H23" s="225"/>
      <c r="I23" s="225"/>
      <c r="J23" s="225"/>
      <c r="K23" s="225"/>
      <c r="L23" s="225"/>
      <c r="M23" s="15"/>
      <c r="N23" s="15"/>
      <c r="O23" s="15"/>
    </row>
    <row r="24" spans="1:15" x14ac:dyDescent="0.25">
      <c r="A24" s="225"/>
      <c r="B24" s="225"/>
      <c r="C24" s="225"/>
      <c r="D24" s="225"/>
      <c r="E24" s="225"/>
      <c r="F24" s="225"/>
      <c r="G24" s="225"/>
      <c r="H24" s="225"/>
      <c r="I24" s="225"/>
      <c r="J24" s="225"/>
      <c r="K24" s="225"/>
      <c r="L24" s="225"/>
      <c r="M24" s="15"/>
      <c r="N24" s="15"/>
      <c r="O24" s="15"/>
    </row>
    <row r="25" spans="1:15" x14ac:dyDescent="0.25">
      <c r="A25" s="225"/>
      <c r="B25" s="225"/>
      <c r="C25" s="225"/>
      <c r="D25" s="225"/>
      <c r="E25" s="225"/>
      <c r="F25" s="225"/>
      <c r="G25" s="225"/>
      <c r="H25" s="225"/>
      <c r="I25" s="225"/>
      <c r="J25" s="225"/>
      <c r="K25" s="225"/>
      <c r="L25" s="225"/>
      <c r="M25" s="15"/>
      <c r="N25" s="15"/>
      <c r="O25" s="15"/>
    </row>
    <row r="26" spans="1:15" x14ac:dyDescent="0.25">
      <c r="A26" s="225"/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15"/>
      <c r="N26" s="15"/>
      <c r="O26" s="15"/>
    </row>
    <row r="27" spans="1:15" x14ac:dyDescent="0.25">
      <c r="A27" s="225"/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15"/>
      <c r="N27" s="15"/>
      <c r="O27" s="15"/>
    </row>
    <row r="28" spans="1:15" x14ac:dyDescent="0.25">
      <c r="A28" s="225"/>
      <c r="B28" s="225"/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15"/>
      <c r="N28" s="15"/>
      <c r="O28" s="15"/>
    </row>
    <row r="29" spans="1:15" x14ac:dyDescent="0.25">
      <c r="A29" s="225"/>
      <c r="B29" s="225"/>
      <c r="C29" s="225"/>
      <c r="D29" s="225"/>
      <c r="E29" s="225"/>
      <c r="F29" s="225"/>
      <c r="G29" s="225"/>
      <c r="H29" s="225"/>
      <c r="I29" s="225"/>
      <c r="J29" s="225"/>
      <c r="K29" s="225"/>
      <c r="L29" s="225"/>
      <c r="M29" s="15"/>
      <c r="N29" s="15"/>
      <c r="O29" s="15"/>
    </row>
    <row r="30" spans="1:15" x14ac:dyDescent="0.25">
      <c r="A30" s="225"/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15"/>
      <c r="N30" s="15"/>
      <c r="O30" s="15"/>
    </row>
    <row r="31" spans="1:15" x14ac:dyDescent="0.25">
      <c r="A31" s="225"/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15"/>
      <c r="N31" s="15"/>
      <c r="O31" s="15"/>
    </row>
    <row r="32" spans="1:15" x14ac:dyDescent="0.25">
      <c r="A32" s="225"/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15"/>
      <c r="N32" s="15"/>
      <c r="O32" s="15"/>
    </row>
    <row r="33" spans="1:15" x14ac:dyDescent="0.25">
      <c r="A33" s="225"/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15"/>
      <c r="N33" s="15"/>
      <c r="O33" s="15"/>
    </row>
    <row r="34" spans="1:15" x14ac:dyDescent="0.25">
      <c r="A34" s="225"/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15"/>
      <c r="N34" s="15"/>
      <c r="O34" s="15"/>
    </row>
    <row r="35" spans="1:15" x14ac:dyDescent="0.25">
      <c r="A35" s="225"/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15"/>
      <c r="N35" s="15"/>
      <c r="O35" s="15"/>
    </row>
    <row r="36" spans="1:15" x14ac:dyDescent="0.25">
      <c r="A36" s="225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15"/>
      <c r="N36" s="15"/>
      <c r="O36" s="15"/>
    </row>
    <row r="37" spans="1:15" x14ac:dyDescent="0.25">
      <c r="A37" s="225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15"/>
      <c r="N37" s="15"/>
      <c r="O37" s="15"/>
    </row>
    <row r="38" spans="1:15" x14ac:dyDescent="0.25">
      <c r="A38" s="225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15"/>
      <c r="N38" s="15"/>
      <c r="O38" s="15"/>
    </row>
    <row r="39" spans="1:15" x14ac:dyDescent="0.25">
      <c r="A39" s="225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15"/>
      <c r="N39" s="15"/>
      <c r="O39" s="15"/>
    </row>
    <row r="40" spans="1:15" x14ac:dyDescent="0.25">
      <c r="A40" s="225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15"/>
      <c r="N40" s="15"/>
      <c r="O40" s="15"/>
    </row>
    <row r="41" spans="1:15" x14ac:dyDescent="0.25">
      <c r="A41" s="225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15"/>
      <c r="N41" s="15"/>
      <c r="O41" s="15"/>
    </row>
    <row r="42" spans="1:15" x14ac:dyDescent="0.25">
      <c r="A42" s="225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15"/>
      <c r="N42" s="15"/>
      <c r="O42" s="15"/>
    </row>
    <row r="43" spans="1:15" x14ac:dyDescent="0.25">
      <c r="A43" s="225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15"/>
      <c r="N43" s="15"/>
      <c r="O43" s="15"/>
    </row>
    <row r="44" spans="1:15" x14ac:dyDescent="0.25">
      <c r="A44" s="225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15"/>
      <c r="N44" s="15"/>
      <c r="O44" s="15"/>
    </row>
    <row r="45" spans="1:15" x14ac:dyDescent="0.25">
      <c r="A45" s="225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15"/>
      <c r="N45" s="15"/>
      <c r="O45" s="15"/>
    </row>
    <row r="46" spans="1:15" x14ac:dyDescent="0.25">
      <c r="A46" s="225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15"/>
      <c r="N46" s="15"/>
      <c r="O46" s="15"/>
    </row>
    <row r="47" spans="1:15" x14ac:dyDescent="0.25">
      <c r="A47" s="225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15"/>
      <c r="N47" s="15"/>
      <c r="O47" s="15"/>
    </row>
    <row r="48" spans="1:15" x14ac:dyDescent="0.25">
      <c r="A48" s="225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15"/>
      <c r="N48" s="15"/>
      <c r="O48" s="15"/>
    </row>
    <row r="49" spans="1:15" x14ac:dyDescent="0.25">
      <c r="A49" s="225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15"/>
      <c r="N49" s="15"/>
      <c r="O49" s="15"/>
    </row>
    <row r="50" spans="1:15" x14ac:dyDescent="0.25">
      <c r="A50" s="225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15"/>
      <c r="N50" s="15"/>
      <c r="O50" s="15"/>
    </row>
    <row r="51" spans="1:15" x14ac:dyDescent="0.25">
      <c r="A51" s="225"/>
      <c r="B51" s="225"/>
      <c r="C51" s="225"/>
      <c r="D51" s="225"/>
      <c r="E51" s="225"/>
      <c r="F51" s="225"/>
      <c r="G51" s="225"/>
      <c r="H51" s="225"/>
      <c r="I51" s="225"/>
      <c r="J51" s="225"/>
      <c r="K51" s="225"/>
      <c r="L51" s="225"/>
      <c r="M51" s="15"/>
      <c r="N51" s="15"/>
      <c r="O51" s="15"/>
    </row>
    <row r="52" spans="1:15" x14ac:dyDescent="0.25">
      <c r="A52" s="225"/>
      <c r="B52" s="225"/>
      <c r="C52" s="225"/>
      <c r="D52" s="225"/>
      <c r="E52" s="225"/>
      <c r="F52" s="225"/>
      <c r="G52" s="225"/>
      <c r="H52" s="225"/>
      <c r="I52" s="225"/>
      <c r="J52" s="225"/>
      <c r="K52" s="225"/>
      <c r="L52" s="225"/>
      <c r="M52" s="15"/>
      <c r="N52" s="15"/>
      <c r="O52" s="15"/>
    </row>
    <row r="53" spans="1:15" x14ac:dyDescent="0.25">
      <c r="A53" s="225"/>
      <c r="B53" s="225"/>
      <c r="C53" s="225"/>
      <c r="D53" s="225"/>
      <c r="E53" s="225"/>
      <c r="F53" s="225"/>
      <c r="G53" s="225"/>
      <c r="H53" s="225"/>
      <c r="I53" s="225"/>
      <c r="J53" s="225"/>
      <c r="K53" s="225"/>
      <c r="L53" s="225"/>
      <c r="M53" s="15"/>
      <c r="N53" s="15"/>
      <c r="O53" s="15"/>
    </row>
    <row r="54" spans="1:15" x14ac:dyDescent="0.25">
      <c r="A54" s="225"/>
      <c r="B54" s="225"/>
      <c r="C54" s="225"/>
      <c r="D54" s="225"/>
      <c r="E54" s="225"/>
      <c r="F54" s="225"/>
      <c r="G54" s="225"/>
      <c r="H54" s="225"/>
      <c r="I54" s="225"/>
      <c r="J54" s="225"/>
      <c r="K54" s="225"/>
      <c r="L54" s="225"/>
      <c r="M54" s="15"/>
      <c r="N54" s="15"/>
      <c r="O54" s="15"/>
    </row>
    <row r="55" spans="1:15" x14ac:dyDescent="0.25">
      <c r="A55" s="225"/>
      <c r="B55" s="225"/>
      <c r="C55" s="225"/>
      <c r="D55" s="225"/>
      <c r="E55" s="225"/>
      <c r="F55" s="225"/>
      <c r="G55" s="225"/>
      <c r="H55" s="225"/>
      <c r="I55" s="225"/>
      <c r="J55" s="225"/>
      <c r="K55" s="225"/>
      <c r="L55" s="225"/>
      <c r="M55" s="15"/>
      <c r="N55" s="15"/>
      <c r="O55" s="15"/>
    </row>
  </sheetData>
  <sheetProtection sheet="1" objects="1" scenarios="1"/>
  <pageMargins left="0.75" right="0.75" top="1" bottom="1" header="0.5" footer="0.5"/>
  <pageSetup paperSize="9" fitToHeight="0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>
    <pageSetUpPr fitToPage="1"/>
  </sheetPr>
  <dimension ref="A1:AE67"/>
  <sheetViews>
    <sheetView showGridLines="0" topLeftCell="A29" zoomScale="80" zoomScaleNormal="80" workbookViewId="0">
      <selection activeCell="O17" sqref="O17"/>
    </sheetView>
  </sheetViews>
  <sheetFormatPr defaultRowHeight="15" x14ac:dyDescent="0.25"/>
  <cols>
    <col min="1" max="1" width="40.7109375" customWidth="1"/>
    <col min="2" max="2" width="23.85546875" bestFit="1" customWidth="1"/>
    <col min="3" max="3" width="18.140625" bestFit="1" customWidth="1"/>
    <col min="4" max="4" width="24.7109375" customWidth="1"/>
    <col min="5" max="5" width="23.5703125" bestFit="1" customWidth="1"/>
    <col min="6" max="6" width="19" bestFit="1" customWidth="1"/>
    <col min="7" max="7" width="24.7109375" customWidth="1"/>
    <col min="9" max="9" width="6.140625" bestFit="1" customWidth="1"/>
    <col min="10" max="10" width="11.28515625" bestFit="1" customWidth="1"/>
    <col min="11" max="11" width="14.7109375" bestFit="1" customWidth="1"/>
    <col min="12" max="12" width="11.28515625" bestFit="1" customWidth="1"/>
    <col min="13" max="13" width="14.7109375" bestFit="1" customWidth="1"/>
    <col min="14" max="14" width="11.28515625" bestFit="1" customWidth="1"/>
    <col min="15" max="15" width="14.7109375" bestFit="1" customWidth="1"/>
    <col min="16" max="16" width="11.28515625" bestFit="1" customWidth="1"/>
    <col min="17" max="17" width="14.7109375" bestFit="1" customWidth="1"/>
    <col min="18" max="18" width="11.28515625" bestFit="1" customWidth="1"/>
    <col min="19" max="19" width="14.7109375" bestFit="1" customWidth="1"/>
    <col min="20" max="20" width="11.28515625" bestFit="1" customWidth="1"/>
    <col min="21" max="21" width="14.7109375" bestFit="1" customWidth="1"/>
    <col min="22" max="22" width="11.28515625" bestFit="1" customWidth="1"/>
    <col min="23" max="23" width="14.7109375" bestFit="1" customWidth="1"/>
    <col min="24" max="24" width="11.28515625" bestFit="1" customWidth="1"/>
    <col min="25" max="25" width="14.7109375" bestFit="1" customWidth="1"/>
    <col min="26" max="26" width="11.28515625" bestFit="1" customWidth="1"/>
    <col min="27" max="27" width="14.7109375" bestFit="1" customWidth="1"/>
    <col min="28" max="28" width="11.28515625" bestFit="1" customWidth="1"/>
    <col min="29" max="29" width="14.7109375" bestFit="1" customWidth="1"/>
    <col min="30" max="30" width="12.42578125" bestFit="1" customWidth="1"/>
    <col min="31" max="31" width="16.140625" bestFit="1" customWidth="1"/>
  </cols>
  <sheetData>
    <row r="1" spans="1:31" s="216" customFormat="1" ht="22.15" customHeight="1" x14ac:dyDescent="0.25">
      <c r="A1" s="273" t="s">
        <v>52</v>
      </c>
      <c r="B1" s="274"/>
      <c r="C1" s="274"/>
      <c r="D1" s="274"/>
      <c r="E1" s="274"/>
      <c r="F1" s="274"/>
      <c r="G1" s="274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</row>
    <row r="2" spans="1:31" ht="22.15" customHeight="1" x14ac:dyDescent="0.25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</row>
    <row r="3" spans="1:31" ht="22.15" customHeight="1" x14ac:dyDescent="0.25">
      <c r="A3" s="211" t="s">
        <v>53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</row>
    <row r="4" spans="1:31" ht="20.45" customHeight="1" x14ac:dyDescent="0.25">
      <c r="A4" s="206" t="s">
        <v>54</v>
      </c>
      <c r="B4" s="217">
        <f>IRR_DPP!$L$3</f>
        <v>9128</v>
      </c>
      <c r="C4" s="207" t="s">
        <v>38</v>
      </c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</row>
    <row r="5" spans="1:31" ht="35.25" customHeight="1" x14ac:dyDescent="0.25">
      <c r="A5" s="206" t="s">
        <v>55</v>
      </c>
      <c r="B5" s="217">
        <f>IRR_DPP!$B$4</f>
        <v>1451.9894000000002</v>
      </c>
      <c r="C5" s="207" t="s">
        <v>46</v>
      </c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</row>
    <row r="6" spans="1:31" ht="20.45" customHeight="1" x14ac:dyDescent="0.25">
      <c r="A6" s="206" t="s">
        <v>56</v>
      </c>
      <c r="B6" s="218">
        <f>MAX(IRR_DPP!$A$4:$A$28)</f>
        <v>25</v>
      </c>
      <c r="C6" s="207" t="s">
        <v>40</v>
      </c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</row>
    <row r="7" spans="1:31" ht="20.45" customHeight="1" x14ac:dyDescent="0.25">
      <c r="A7" s="206" t="s">
        <v>57</v>
      </c>
      <c r="B7" s="219">
        <f>IRR_DPP!$F$4</f>
        <v>0.02</v>
      </c>
      <c r="C7" s="207" t="s">
        <v>36</v>
      </c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</row>
    <row r="8" spans="1:31" ht="20.45" customHeight="1" x14ac:dyDescent="0.25">
      <c r="A8" s="206" t="s">
        <v>58</v>
      </c>
      <c r="B8" s="219">
        <f>IRR_DPP!$L$7</f>
        <v>0.15470672654179407</v>
      </c>
      <c r="C8" s="207"/>
      <c r="D8" s="205"/>
      <c r="E8" s="205"/>
      <c r="F8" s="205"/>
      <c r="G8" s="205"/>
      <c r="H8" s="205"/>
      <c r="I8" s="205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  <c r="AD8" s="205"/>
      <c r="AE8" s="205"/>
    </row>
    <row r="9" spans="1:31" ht="20.45" customHeight="1" x14ac:dyDescent="0.25">
      <c r="A9" s="206" t="s">
        <v>41</v>
      </c>
      <c r="B9" s="218">
        <f>$B$4/$B$5</f>
        <v>6.2865472709373771</v>
      </c>
      <c r="C9" s="207" t="s">
        <v>40</v>
      </c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</row>
    <row r="10" spans="1:31" ht="20.45" customHeight="1" x14ac:dyDescent="0.25">
      <c r="A10" s="206" t="s">
        <v>59</v>
      </c>
      <c r="B10" s="218">
        <f>DPP_FromNPV(IRR_DPP!$E$3:$E$28,IRR_DPP!$A$3:$A$28,IRR_DPP!$C$3:$C$28)</f>
        <v>6.7869833666614605</v>
      </c>
      <c r="C10" s="207" t="s">
        <v>40</v>
      </c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</row>
    <row r="11" spans="1:31" ht="20.45" customHeight="1" x14ac:dyDescent="0.25">
      <c r="A11" s="205"/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</row>
    <row r="12" spans="1:31" ht="22.15" customHeight="1" x14ac:dyDescent="0.25">
      <c r="A12" s="205"/>
      <c r="B12" s="205"/>
      <c r="C12" s="205"/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5"/>
    </row>
    <row r="13" spans="1:31" ht="22.15" customHeight="1" x14ac:dyDescent="0.25">
      <c r="A13" s="211" t="s">
        <v>60</v>
      </c>
      <c r="B13" s="205"/>
      <c r="C13" s="205"/>
      <c r="D13" s="205"/>
      <c r="E13" s="205"/>
      <c r="F13" s="205"/>
      <c r="G13" s="205"/>
      <c r="H13" s="205"/>
      <c r="I13" s="206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</row>
    <row r="14" spans="1:31" ht="22.15" customHeight="1" x14ac:dyDescent="0.25">
      <c r="A14" s="220" t="s">
        <v>43</v>
      </c>
      <c r="B14" s="212" t="s">
        <v>20</v>
      </c>
      <c r="C14" s="212" t="s">
        <v>61</v>
      </c>
      <c r="D14" s="212" t="s">
        <v>62</v>
      </c>
      <c r="E14" s="212" t="s">
        <v>63</v>
      </c>
      <c r="F14" s="212" t="s">
        <v>64</v>
      </c>
      <c r="G14" s="212" t="s">
        <v>65</v>
      </c>
      <c r="H14" s="221"/>
      <c r="I14" s="212" t="s">
        <v>29</v>
      </c>
      <c r="J14" s="212" t="s">
        <v>66</v>
      </c>
      <c r="K14" s="212" t="s">
        <v>67</v>
      </c>
      <c r="L14" s="212" t="s">
        <v>68</v>
      </c>
      <c r="M14" s="212" t="s">
        <v>69</v>
      </c>
      <c r="N14" s="212" t="s">
        <v>70</v>
      </c>
      <c r="O14" s="212" t="s">
        <v>71</v>
      </c>
      <c r="P14" s="212" t="s">
        <v>72</v>
      </c>
      <c r="Q14" s="212" t="s">
        <v>73</v>
      </c>
      <c r="R14" s="212" t="s">
        <v>74</v>
      </c>
      <c r="S14" s="212" t="s">
        <v>75</v>
      </c>
      <c r="T14" s="212" t="s">
        <v>76</v>
      </c>
      <c r="U14" s="212" t="s">
        <v>77</v>
      </c>
      <c r="V14" s="212" t="s">
        <v>78</v>
      </c>
      <c r="W14" s="212" t="s">
        <v>79</v>
      </c>
      <c r="X14" s="212" t="s">
        <v>80</v>
      </c>
      <c r="Y14" s="212" t="s">
        <v>81</v>
      </c>
      <c r="Z14" s="212" t="s">
        <v>82</v>
      </c>
      <c r="AA14" s="212" t="s">
        <v>83</v>
      </c>
      <c r="AB14" s="212" t="s">
        <v>84</v>
      </c>
      <c r="AC14" s="212" t="s">
        <v>85</v>
      </c>
      <c r="AD14" s="212" t="s">
        <v>86</v>
      </c>
      <c r="AE14" s="212" t="s">
        <v>87</v>
      </c>
    </row>
    <row r="15" spans="1:31" ht="22.15" customHeight="1" x14ac:dyDescent="0.25">
      <c r="A15" s="210">
        <v>0</v>
      </c>
      <c r="B15" s="209">
        <f t="shared" ref="B15:B25" si="0">IF(A15=0,$B$5*$B$6-$B$4,$B$5*(1-(1+A15)^(-$B$6))/A15-$B$4)</f>
        <v>27171.735000000001</v>
      </c>
      <c r="C15" s="208">
        <f>DPP_FromNPV(K15:K40,$I$15:$I$40,J15:J40)</f>
        <v>6.2865472709373762</v>
      </c>
      <c r="D15" s="208">
        <f t="shared" ref="D15:D25" si="1">C15-$B$10</f>
        <v>-0.50043609572408432</v>
      </c>
      <c r="E15" s="210">
        <f t="shared" ref="E15:E25" si="2">IF($B$7=0,"",(A15-$B$7)/$B$7)</f>
        <v>-1</v>
      </c>
      <c r="F15" s="210">
        <f t="shared" ref="F15:F25" si="3">IF($B$10=0,"",(C15-$B$10)/$B$10)</f>
        <v>-7.3734687222351408E-2</v>
      </c>
      <c r="G15" s="208">
        <f t="shared" ref="G15:G25" si="4">IFERROR(F15/E15,NA())</f>
        <v>7.3734687222351408E-2</v>
      </c>
      <c r="H15" s="205"/>
      <c r="I15" s="222">
        <v>0</v>
      </c>
      <c r="J15" s="209">
        <v>0</v>
      </c>
      <c r="K15" s="209">
        <f>-$B$4</f>
        <v>-9128</v>
      </c>
      <c r="L15" s="209">
        <v>0</v>
      </c>
      <c r="M15" s="209">
        <f>-$B$4</f>
        <v>-9128</v>
      </c>
      <c r="N15" s="209">
        <v>0</v>
      </c>
      <c r="O15" s="209">
        <f>-$B$4</f>
        <v>-9128</v>
      </c>
      <c r="P15" s="209">
        <v>0</v>
      </c>
      <c r="Q15" s="209">
        <f>-$B$4</f>
        <v>-9128</v>
      </c>
      <c r="R15" s="209">
        <v>0</v>
      </c>
      <c r="S15" s="209">
        <f>-$B$4</f>
        <v>-9128</v>
      </c>
      <c r="T15" s="209">
        <v>0</v>
      </c>
      <c r="U15" s="209">
        <f>-$B$4</f>
        <v>-9128</v>
      </c>
      <c r="V15" s="209">
        <v>0</v>
      </c>
      <c r="W15" s="209">
        <f>-$B$4</f>
        <v>-9128</v>
      </c>
      <c r="X15" s="209">
        <v>0</v>
      </c>
      <c r="Y15" s="209">
        <f>-$B$4</f>
        <v>-9128</v>
      </c>
      <c r="Z15" s="209">
        <v>0</v>
      </c>
      <c r="AA15" s="209">
        <f>-$B$4</f>
        <v>-9128</v>
      </c>
      <c r="AB15" s="209">
        <v>0</v>
      </c>
      <c r="AC15" s="209">
        <f>-$B$4</f>
        <v>-9128</v>
      </c>
      <c r="AD15" s="209">
        <v>0</v>
      </c>
      <c r="AE15" s="209">
        <f>-$B$4</f>
        <v>-9128</v>
      </c>
    </row>
    <row r="16" spans="1:31" ht="22.15" customHeight="1" x14ac:dyDescent="0.25">
      <c r="A16" s="210">
        <v>0.01</v>
      </c>
      <c r="B16" s="209">
        <f t="shared" si="0"/>
        <v>22849.388631852249</v>
      </c>
      <c r="C16" s="208">
        <f>DPP_FromNPV(M15:M40,$I$15:$I$40,L15:L40)</f>
        <v>6.5264943611628068</v>
      </c>
      <c r="D16" s="208">
        <f t="shared" si="1"/>
        <v>-0.26048900549865373</v>
      </c>
      <c r="E16" s="210">
        <f t="shared" si="2"/>
        <v>-0.5</v>
      </c>
      <c r="F16" s="210">
        <f t="shared" si="3"/>
        <v>-3.8380675393755843E-2</v>
      </c>
      <c r="G16" s="208">
        <f t="shared" si="4"/>
        <v>7.6761350787511687E-2</v>
      </c>
      <c r="H16" s="205"/>
      <c r="I16" s="222">
        <v>1</v>
      </c>
      <c r="J16" s="209">
        <f t="shared" ref="J16:J40" si="5">$B$5/(1+$A$15)^$I16</f>
        <v>1451.9894000000002</v>
      </c>
      <c r="K16" s="209">
        <f t="shared" ref="K16:K40" si="6">K15+J16</f>
        <v>-7676.0105999999996</v>
      </c>
      <c r="L16" s="209">
        <f t="shared" ref="L16:L40" si="7">$B$5/(1+$A$16)^$I16</f>
        <v>1437.6132673267327</v>
      </c>
      <c r="M16" s="209">
        <f t="shared" ref="M16:M40" si="8">M15+L16</f>
        <v>-7690.386732673267</v>
      </c>
      <c r="N16" s="209">
        <f t="shared" ref="N16:N40" si="9">$B$5/(1+$A$17)^$I16</f>
        <v>1423.5190196078433</v>
      </c>
      <c r="O16" s="209">
        <f t="shared" ref="O16:O40" si="10">O15+N16</f>
        <v>-7704.4809803921562</v>
      </c>
      <c r="P16" s="209">
        <f t="shared" ref="P16:P40" si="11">$B$5/(1+$A$18)^$I16</f>
        <v>1409.6984466019419</v>
      </c>
      <c r="Q16" s="209">
        <f t="shared" ref="Q16:Q40" si="12">Q15+P16</f>
        <v>-7718.3015533980579</v>
      </c>
      <c r="R16" s="209">
        <f t="shared" ref="R16:R40" si="13">$B$5/(1+$A$19)^$I16</f>
        <v>1396.1436538461539</v>
      </c>
      <c r="S16" s="209">
        <f t="shared" ref="S16:S40" si="14">S15+R16</f>
        <v>-7731.8563461538461</v>
      </c>
      <c r="T16" s="209">
        <f t="shared" ref="T16:T40" si="15">$B$5/(1+$A$20)^$I16</f>
        <v>1382.8470476190478</v>
      </c>
      <c r="U16" s="209">
        <f t="shared" ref="U16:U40" si="16">U15+T16</f>
        <v>-7745.1529523809522</v>
      </c>
      <c r="V16" s="209">
        <f t="shared" ref="V16:V40" si="17">$B$5/(1+$A$21)^$I16</f>
        <v>1369.8013207547172</v>
      </c>
      <c r="W16" s="209">
        <f t="shared" ref="W16:W40" si="18">W15+V16</f>
        <v>-7758.1986792452826</v>
      </c>
      <c r="X16" s="209">
        <f t="shared" ref="X16:X40" si="19">$B$5/(1+$A$22)^$I16</f>
        <v>1356.9994392523365</v>
      </c>
      <c r="Y16" s="209">
        <f t="shared" ref="Y16:Y40" si="20">Y15+X16</f>
        <v>-7771.0005607476633</v>
      </c>
      <c r="Z16" s="209">
        <f t="shared" ref="Z16:Z40" si="21">$B$5/(1+$A$23)^$I16</f>
        <v>1344.4346296296296</v>
      </c>
      <c r="AA16" s="209">
        <f t="shared" ref="AA16:AA40" si="22">AA15+Z16</f>
        <v>-7783.5653703703701</v>
      </c>
      <c r="AB16" s="209">
        <f t="shared" ref="AB16:AB40" si="23">$B$5/(1+$A$24)^$I16</f>
        <v>1332.1003669724771</v>
      </c>
      <c r="AC16" s="209">
        <f t="shared" ref="AC16:AC40" si="24">AC15+AB16</f>
        <v>-7795.8996330275231</v>
      </c>
      <c r="AD16" s="209">
        <f t="shared" ref="AD16:AD40" si="25">$B$5/(1+$A$25)^$I16</f>
        <v>1319.9903636363638</v>
      </c>
      <c r="AE16" s="209">
        <f t="shared" ref="AE16:AE40" si="26">AE15+AD16</f>
        <v>-7808.0096363636367</v>
      </c>
    </row>
    <row r="17" spans="1:31" ht="22.15" customHeight="1" x14ac:dyDescent="0.25">
      <c r="A17" s="210">
        <v>0.02</v>
      </c>
      <c r="B17" s="209">
        <f t="shared" si="0"/>
        <v>19219.851851008301</v>
      </c>
      <c r="C17" s="208">
        <f>DPP_FromNPV(O15:O40,$I$15:$I$40,N15:N40)</f>
        <v>6.7869833666614596</v>
      </c>
      <c r="D17" s="208">
        <f t="shared" si="1"/>
        <v>0</v>
      </c>
      <c r="E17" s="210">
        <f t="shared" si="2"/>
        <v>0</v>
      </c>
      <c r="F17" s="210">
        <f t="shared" si="3"/>
        <v>-1.3086497663497636E-16</v>
      </c>
      <c r="G17" s="208" t="e">
        <f t="shared" si="4"/>
        <v>#N/A</v>
      </c>
      <c r="H17" s="205"/>
      <c r="I17" s="222">
        <v>2</v>
      </c>
      <c r="J17" s="209">
        <f t="shared" si="5"/>
        <v>1451.9894000000002</v>
      </c>
      <c r="K17" s="209">
        <f t="shared" si="6"/>
        <v>-6224.0211999999992</v>
      </c>
      <c r="L17" s="209">
        <f t="shared" si="7"/>
        <v>1423.3794726007256</v>
      </c>
      <c r="M17" s="209">
        <f t="shared" si="8"/>
        <v>-6267.0072600725416</v>
      </c>
      <c r="N17" s="209">
        <f t="shared" si="9"/>
        <v>1395.6068819684738</v>
      </c>
      <c r="O17" s="209">
        <f t="shared" si="10"/>
        <v>-6308.8740984236829</v>
      </c>
      <c r="P17" s="209">
        <f t="shared" si="11"/>
        <v>1368.6392685455746</v>
      </c>
      <c r="Q17" s="209">
        <f t="shared" si="12"/>
        <v>-6349.662284852483</v>
      </c>
      <c r="R17" s="209">
        <f t="shared" si="13"/>
        <v>1342.4458210059172</v>
      </c>
      <c r="S17" s="209">
        <f t="shared" si="14"/>
        <v>-6389.4105251479286</v>
      </c>
      <c r="T17" s="209">
        <f t="shared" si="15"/>
        <v>1316.997188208617</v>
      </c>
      <c r="U17" s="209">
        <f t="shared" si="16"/>
        <v>-6428.1557641723357</v>
      </c>
      <c r="V17" s="209">
        <f t="shared" si="17"/>
        <v>1292.2653969384123</v>
      </c>
      <c r="W17" s="209">
        <f t="shared" si="18"/>
        <v>-6465.9332823068708</v>
      </c>
      <c r="X17" s="209">
        <f t="shared" si="19"/>
        <v>1268.2237750021836</v>
      </c>
      <c r="Y17" s="209">
        <f t="shared" si="20"/>
        <v>-6502.7767857454801</v>
      </c>
      <c r="Z17" s="209">
        <f t="shared" si="21"/>
        <v>1244.846879286694</v>
      </c>
      <c r="AA17" s="209">
        <f t="shared" si="22"/>
        <v>-6538.7184910836759</v>
      </c>
      <c r="AB17" s="209">
        <f t="shared" si="23"/>
        <v>1222.1104284151165</v>
      </c>
      <c r="AC17" s="209">
        <f t="shared" si="24"/>
        <v>-6573.789204612407</v>
      </c>
      <c r="AD17" s="209">
        <f t="shared" si="25"/>
        <v>1199.9912396694215</v>
      </c>
      <c r="AE17" s="209">
        <f t="shared" si="26"/>
        <v>-6608.018396694215</v>
      </c>
    </row>
    <row r="18" spans="1:31" ht="22.15" customHeight="1" x14ac:dyDescent="0.25">
      <c r="A18" s="210">
        <v>0.03</v>
      </c>
      <c r="B18" s="209">
        <f t="shared" si="0"/>
        <v>16155.705868370151</v>
      </c>
      <c r="C18" s="208">
        <f>DPP_FromNPV(Q15:Q40,$I$15:$I$40,P15:P40)</f>
        <v>7.0712739517985659</v>
      </c>
      <c r="D18" s="208">
        <f t="shared" si="1"/>
        <v>0.28429058513710537</v>
      </c>
      <c r="E18" s="210">
        <f t="shared" si="2"/>
        <v>0.49999999999999989</v>
      </c>
      <c r="F18" s="210">
        <f t="shared" si="3"/>
        <v>4.1887620726106016E-2</v>
      </c>
      <c r="G18" s="208">
        <f t="shared" si="4"/>
        <v>8.3775241452212046E-2</v>
      </c>
      <c r="H18" s="205"/>
      <c r="I18" s="222">
        <v>3</v>
      </c>
      <c r="J18" s="209">
        <f t="shared" si="5"/>
        <v>1451.9894000000002</v>
      </c>
      <c r="K18" s="209">
        <f t="shared" si="6"/>
        <v>-4772.0317999999988</v>
      </c>
      <c r="L18" s="209">
        <f t="shared" si="7"/>
        <v>1409.2866065353719</v>
      </c>
      <c r="M18" s="209">
        <f t="shared" si="8"/>
        <v>-4857.7206535371697</v>
      </c>
      <c r="N18" s="209">
        <f t="shared" si="9"/>
        <v>1368.2420411455626</v>
      </c>
      <c r="O18" s="209">
        <f t="shared" si="10"/>
        <v>-4940.6320572781206</v>
      </c>
      <c r="P18" s="209">
        <f t="shared" si="11"/>
        <v>1328.7759888791986</v>
      </c>
      <c r="Q18" s="209">
        <f t="shared" si="12"/>
        <v>-5020.8862959732842</v>
      </c>
      <c r="R18" s="209">
        <f t="shared" si="13"/>
        <v>1290.8132894287664</v>
      </c>
      <c r="S18" s="209">
        <f t="shared" si="14"/>
        <v>-5098.5972357191622</v>
      </c>
      <c r="T18" s="209">
        <f t="shared" si="15"/>
        <v>1254.283036389159</v>
      </c>
      <c r="U18" s="209">
        <f t="shared" si="16"/>
        <v>-5173.8727277831767</v>
      </c>
      <c r="V18" s="209">
        <f t="shared" si="17"/>
        <v>1219.118298998502</v>
      </c>
      <c r="W18" s="209">
        <f t="shared" si="18"/>
        <v>-5246.8149833083689</v>
      </c>
      <c r="X18" s="209">
        <f t="shared" si="19"/>
        <v>1185.2558644880221</v>
      </c>
      <c r="Y18" s="209">
        <f t="shared" si="20"/>
        <v>-5317.5209212574582</v>
      </c>
      <c r="Z18" s="209">
        <f t="shared" si="21"/>
        <v>1152.6359993395315</v>
      </c>
      <c r="AA18" s="209">
        <f t="shared" si="22"/>
        <v>-5386.0824917441441</v>
      </c>
      <c r="AB18" s="209">
        <f t="shared" si="23"/>
        <v>1121.2022279037767</v>
      </c>
      <c r="AC18" s="209">
        <f t="shared" si="24"/>
        <v>-5452.5869767086306</v>
      </c>
      <c r="AD18" s="209">
        <f t="shared" si="25"/>
        <v>1090.9011269722012</v>
      </c>
      <c r="AE18" s="209">
        <f t="shared" si="26"/>
        <v>-5517.1172697220136</v>
      </c>
    </row>
    <row r="19" spans="1:31" ht="22.15" customHeight="1" x14ac:dyDescent="0.25">
      <c r="A19" s="210">
        <v>0.04</v>
      </c>
      <c r="B19" s="209">
        <f t="shared" si="0"/>
        <v>13555.094484133715</v>
      </c>
      <c r="C19" s="208">
        <f>DPP_FromNPV(S15:S40,$I$15:$I$40,R15:R40)</f>
        <v>7.3893477687827911</v>
      </c>
      <c r="D19" s="208">
        <f t="shared" si="1"/>
        <v>0.60236440212133058</v>
      </c>
      <c r="E19" s="210">
        <f t="shared" si="2"/>
        <v>1</v>
      </c>
      <c r="F19" s="210">
        <f t="shared" si="3"/>
        <v>8.875289205513931E-2</v>
      </c>
      <c r="G19" s="208">
        <f t="shared" si="4"/>
        <v>8.875289205513931E-2</v>
      </c>
      <c r="H19" s="205"/>
      <c r="I19" s="222">
        <v>4</v>
      </c>
      <c r="J19" s="209">
        <f t="shared" si="5"/>
        <v>1451.9894000000002</v>
      </c>
      <c r="K19" s="209">
        <f t="shared" si="6"/>
        <v>-3320.0423999999985</v>
      </c>
      <c r="L19" s="209">
        <f t="shared" si="7"/>
        <v>1395.3332737973979</v>
      </c>
      <c r="M19" s="209">
        <f t="shared" si="8"/>
        <v>-3462.3873797397719</v>
      </c>
      <c r="N19" s="209">
        <f t="shared" si="9"/>
        <v>1341.4137658289828</v>
      </c>
      <c r="O19" s="209">
        <f t="shared" si="10"/>
        <v>-3599.2182914491377</v>
      </c>
      <c r="P19" s="209">
        <f t="shared" si="11"/>
        <v>1290.0737756108726</v>
      </c>
      <c r="Q19" s="209">
        <f t="shared" si="12"/>
        <v>-3730.8125203624113</v>
      </c>
      <c r="R19" s="209">
        <f t="shared" si="13"/>
        <v>1241.1666244507369</v>
      </c>
      <c r="S19" s="209">
        <f t="shared" si="14"/>
        <v>-3857.4306112684253</v>
      </c>
      <c r="T19" s="209">
        <f t="shared" si="15"/>
        <v>1194.5552727515799</v>
      </c>
      <c r="U19" s="209">
        <f t="shared" si="16"/>
        <v>-3979.3174550315971</v>
      </c>
      <c r="V19" s="209">
        <f t="shared" si="17"/>
        <v>1150.1116028287754</v>
      </c>
      <c r="W19" s="209">
        <f t="shared" si="18"/>
        <v>-4096.7033804795938</v>
      </c>
      <c r="X19" s="209">
        <f t="shared" si="19"/>
        <v>1107.715761203759</v>
      </c>
      <c r="Y19" s="209">
        <f t="shared" si="20"/>
        <v>-4209.8051600536992</v>
      </c>
      <c r="Z19" s="209">
        <f t="shared" si="21"/>
        <v>1067.2555549440106</v>
      </c>
      <c r="AA19" s="209">
        <f t="shared" si="22"/>
        <v>-4318.8269368001338</v>
      </c>
      <c r="AB19" s="209">
        <f t="shared" si="23"/>
        <v>1028.625897159428</v>
      </c>
      <c r="AC19" s="209">
        <f t="shared" si="24"/>
        <v>-4423.9610795492026</v>
      </c>
      <c r="AD19" s="209">
        <f t="shared" si="25"/>
        <v>991.72829724745566</v>
      </c>
      <c r="AE19" s="209">
        <f t="shared" si="26"/>
        <v>-4525.3889724745577</v>
      </c>
    </row>
    <row r="20" spans="1:31" ht="22.15" customHeight="1" x14ac:dyDescent="0.25">
      <c r="A20" s="210">
        <v>0.05</v>
      </c>
      <c r="B20" s="209">
        <f t="shared" si="0"/>
        <v>11336.25811408459</v>
      </c>
      <c r="C20" s="208">
        <f>DPP_FromNPV(U15:U40,$I$15:$I$40,T15:T40)</f>
        <v>7.7389846123024526</v>
      </c>
      <c r="D20" s="208">
        <f t="shared" si="1"/>
        <v>0.95200124564099209</v>
      </c>
      <c r="E20" s="210">
        <f t="shared" si="2"/>
        <v>1.5</v>
      </c>
      <c r="F20" s="210">
        <f t="shared" si="3"/>
        <v>0.14026868701599376</v>
      </c>
      <c r="G20" s="208">
        <f t="shared" si="4"/>
        <v>9.3512458010662505E-2</v>
      </c>
      <c r="H20" s="205"/>
      <c r="I20" s="222">
        <v>5</v>
      </c>
      <c r="J20" s="209">
        <f t="shared" si="5"/>
        <v>1451.9894000000002</v>
      </c>
      <c r="K20" s="209">
        <f t="shared" si="6"/>
        <v>-1868.0529999999983</v>
      </c>
      <c r="L20" s="209">
        <f t="shared" si="7"/>
        <v>1381.5180928687109</v>
      </c>
      <c r="M20" s="209">
        <f t="shared" si="8"/>
        <v>-2080.8692868710609</v>
      </c>
      <c r="N20" s="209">
        <f t="shared" si="9"/>
        <v>1315.1115351264539</v>
      </c>
      <c r="O20" s="209">
        <f t="shared" si="10"/>
        <v>-2284.1067563226839</v>
      </c>
      <c r="P20" s="209">
        <f t="shared" si="11"/>
        <v>1252.4988112726919</v>
      </c>
      <c r="Q20" s="209">
        <f t="shared" si="12"/>
        <v>-2478.3137090897194</v>
      </c>
      <c r="R20" s="209">
        <f t="shared" si="13"/>
        <v>1193.429446587247</v>
      </c>
      <c r="S20" s="209">
        <f t="shared" si="14"/>
        <v>-2664.0011646811781</v>
      </c>
      <c r="T20" s="209">
        <f t="shared" si="15"/>
        <v>1137.6716883348379</v>
      </c>
      <c r="U20" s="209">
        <f t="shared" si="16"/>
        <v>-2841.645766696759</v>
      </c>
      <c r="V20" s="209">
        <f t="shared" si="17"/>
        <v>1085.0109460648823</v>
      </c>
      <c r="W20" s="209">
        <f t="shared" si="18"/>
        <v>-3011.6924344147114</v>
      </c>
      <c r="X20" s="209">
        <f t="shared" si="19"/>
        <v>1035.2483749567841</v>
      </c>
      <c r="Y20" s="209">
        <f t="shared" si="20"/>
        <v>-3174.5567850969151</v>
      </c>
      <c r="Z20" s="209">
        <f t="shared" si="21"/>
        <v>988.19958791112094</v>
      </c>
      <c r="AA20" s="209">
        <f t="shared" si="22"/>
        <v>-3330.6273488890129</v>
      </c>
      <c r="AB20" s="209">
        <f t="shared" si="23"/>
        <v>943.69348363250265</v>
      </c>
      <c r="AC20" s="209">
        <f t="shared" si="24"/>
        <v>-3480.2675959167</v>
      </c>
      <c r="AD20" s="209">
        <f t="shared" si="25"/>
        <v>901.57117931586868</v>
      </c>
      <c r="AE20" s="209">
        <f t="shared" si="26"/>
        <v>-3623.8177931586888</v>
      </c>
    </row>
    <row r="21" spans="1:31" ht="22.15" customHeight="1" x14ac:dyDescent="0.25">
      <c r="A21" s="210">
        <v>0.06</v>
      </c>
      <c r="B21" s="209">
        <f t="shared" si="0"/>
        <v>9433.2976382304587</v>
      </c>
      <c r="C21" s="208">
        <f>DPP_FromNPV(W15:W40,$I$15:$I$40,V15:V40)</f>
        <v>8.1296733556462968</v>
      </c>
      <c r="D21" s="208">
        <f t="shared" si="1"/>
        <v>1.3426899889848363</v>
      </c>
      <c r="E21" s="210">
        <f t="shared" si="2"/>
        <v>1.9999999999999996</v>
      </c>
      <c r="F21" s="210">
        <f t="shared" si="3"/>
        <v>0.19783310440693033</v>
      </c>
      <c r="G21" s="208">
        <f t="shared" si="4"/>
        <v>9.8916552203465194E-2</v>
      </c>
      <c r="H21" s="205"/>
      <c r="I21" s="222">
        <v>6</v>
      </c>
      <c r="J21" s="209">
        <f t="shared" si="5"/>
        <v>1451.9894000000002</v>
      </c>
      <c r="K21" s="209">
        <f t="shared" si="6"/>
        <v>-416.06359999999813</v>
      </c>
      <c r="L21" s="209">
        <f t="shared" si="7"/>
        <v>1367.8396959096144</v>
      </c>
      <c r="M21" s="209">
        <f t="shared" si="8"/>
        <v>-713.0295909614465</v>
      </c>
      <c r="N21" s="209">
        <f t="shared" si="9"/>
        <v>1289.3250344376997</v>
      </c>
      <c r="O21" s="209">
        <f t="shared" si="10"/>
        <v>-994.78172188498411</v>
      </c>
      <c r="P21" s="209">
        <f t="shared" si="11"/>
        <v>1216.0182633715456</v>
      </c>
      <c r="Q21" s="209">
        <f t="shared" si="12"/>
        <v>-1262.2954457181738</v>
      </c>
      <c r="R21" s="209">
        <f t="shared" si="13"/>
        <v>1147.528314026199</v>
      </c>
      <c r="S21" s="209">
        <f t="shared" si="14"/>
        <v>-1516.4728506549791</v>
      </c>
      <c r="T21" s="209">
        <f t="shared" si="15"/>
        <v>1083.4968460331791</v>
      </c>
      <c r="U21" s="209">
        <f t="shared" si="16"/>
        <v>-1758.1489206635799</v>
      </c>
      <c r="V21" s="209">
        <f t="shared" si="17"/>
        <v>1023.5952321366814</v>
      </c>
      <c r="W21" s="209">
        <f t="shared" si="18"/>
        <v>-1988.0972022780302</v>
      </c>
      <c r="X21" s="209">
        <f t="shared" si="19"/>
        <v>967.52184575400383</v>
      </c>
      <c r="Y21" s="209">
        <f t="shared" si="20"/>
        <v>-2207.0349393429115</v>
      </c>
      <c r="Z21" s="209">
        <f t="shared" si="21"/>
        <v>914.99961843622293</v>
      </c>
      <c r="AA21" s="209">
        <f t="shared" si="22"/>
        <v>-2415.6277304527898</v>
      </c>
      <c r="AB21" s="209">
        <f t="shared" si="23"/>
        <v>865.77383819495651</v>
      </c>
      <c r="AC21" s="209">
        <f t="shared" si="24"/>
        <v>-2614.4937577217433</v>
      </c>
      <c r="AD21" s="209">
        <f t="shared" si="25"/>
        <v>819.61016301442601</v>
      </c>
      <c r="AE21" s="209">
        <f t="shared" si="26"/>
        <v>-2804.207630144263</v>
      </c>
    </row>
    <row r="22" spans="1:31" ht="22.15" customHeight="1" x14ac:dyDescent="0.25">
      <c r="A22" s="210">
        <v>7.0000000000000007E-2</v>
      </c>
      <c r="B22" s="209">
        <f t="shared" si="0"/>
        <v>7792.8792468427127</v>
      </c>
      <c r="C22" s="208">
        <f>DPP_FromNPV(Y15:Y40,$I$15:$I$40,X15:X40)</f>
        <v>8.5795719957102516</v>
      </c>
      <c r="D22" s="208">
        <f t="shared" si="1"/>
        <v>1.7925886290487911</v>
      </c>
      <c r="E22" s="210">
        <f t="shared" si="2"/>
        <v>2.5</v>
      </c>
      <c r="F22" s="210">
        <f t="shared" si="3"/>
        <v>0.26412155919730379</v>
      </c>
      <c r="G22" s="208">
        <f t="shared" si="4"/>
        <v>0.10564862367892151</v>
      </c>
      <c r="H22" s="205"/>
      <c r="I22" s="222">
        <v>7</v>
      </c>
      <c r="J22" s="209">
        <f t="shared" si="5"/>
        <v>1451.9894000000002</v>
      </c>
      <c r="K22" s="209">
        <f t="shared" si="6"/>
        <v>1035.925800000002</v>
      </c>
      <c r="L22" s="209">
        <f t="shared" si="7"/>
        <v>1354.2967286233811</v>
      </c>
      <c r="M22" s="209">
        <f t="shared" si="8"/>
        <v>641.26713766193461</v>
      </c>
      <c r="N22" s="209">
        <f t="shared" si="9"/>
        <v>1264.0441514095098</v>
      </c>
      <c r="O22" s="209">
        <f t="shared" si="10"/>
        <v>269.26242952452571</v>
      </c>
      <c r="P22" s="209">
        <f t="shared" si="11"/>
        <v>1180.6002557005295</v>
      </c>
      <c r="Q22" s="209">
        <f t="shared" si="12"/>
        <v>-81.695190017644336</v>
      </c>
      <c r="R22" s="209">
        <f t="shared" si="13"/>
        <v>1103.392609640576</v>
      </c>
      <c r="S22" s="209">
        <f t="shared" si="14"/>
        <v>-413.0802410144031</v>
      </c>
      <c r="T22" s="209">
        <f t="shared" si="15"/>
        <v>1031.901758126837</v>
      </c>
      <c r="U22" s="209">
        <f t="shared" si="16"/>
        <v>-726.24716253674296</v>
      </c>
      <c r="V22" s="209">
        <f t="shared" si="17"/>
        <v>965.65587937422765</v>
      </c>
      <c r="W22" s="209">
        <f t="shared" si="18"/>
        <v>-1022.4413229038025</v>
      </c>
      <c r="X22" s="209">
        <f t="shared" si="19"/>
        <v>904.22602406916246</v>
      </c>
      <c r="Y22" s="209">
        <f t="shared" si="20"/>
        <v>-1302.8089152737489</v>
      </c>
      <c r="Z22" s="209">
        <f t="shared" si="21"/>
        <v>847.2218689224286</v>
      </c>
      <c r="AA22" s="209">
        <f t="shared" si="22"/>
        <v>-1568.4058615303611</v>
      </c>
      <c r="AB22" s="209">
        <f t="shared" si="23"/>
        <v>794.28792494950142</v>
      </c>
      <c r="AC22" s="209">
        <f t="shared" si="24"/>
        <v>-1820.205832772242</v>
      </c>
      <c r="AD22" s="209">
        <f t="shared" si="25"/>
        <v>745.10014819493256</v>
      </c>
      <c r="AE22" s="209">
        <f t="shared" si="26"/>
        <v>-2059.1074819493306</v>
      </c>
    </row>
    <row r="23" spans="1:31" ht="22.15" customHeight="1" x14ac:dyDescent="0.25">
      <c r="A23" s="210">
        <v>0.08</v>
      </c>
      <c r="B23" s="209">
        <f t="shared" si="0"/>
        <v>6371.661873203022</v>
      </c>
      <c r="C23" s="208">
        <f>DPP_FromNPV(AA15:AA40,$I$15:$I$40,Z15:Z40)</f>
        <v>9.0856215838538894</v>
      </c>
      <c r="D23" s="208">
        <f t="shared" si="1"/>
        <v>2.2986382171924289</v>
      </c>
      <c r="E23" s="210">
        <f t="shared" si="2"/>
        <v>3</v>
      </c>
      <c r="F23" s="210">
        <f t="shared" si="3"/>
        <v>0.33868334324843596</v>
      </c>
      <c r="G23" s="208">
        <f t="shared" si="4"/>
        <v>0.11289444774947865</v>
      </c>
      <c r="H23" s="205"/>
      <c r="I23" s="222">
        <v>8</v>
      </c>
      <c r="J23" s="209">
        <f t="shared" si="5"/>
        <v>1451.9894000000002</v>
      </c>
      <c r="K23" s="209">
        <f t="shared" si="6"/>
        <v>2487.9152000000022</v>
      </c>
      <c r="L23" s="209">
        <f t="shared" si="7"/>
        <v>1340.8878501221591</v>
      </c>
      <c r="M23" s="209">
        <f t="shared" si="8"/>
        <v>1982.1549877840937</v>
      </c>
      <c r="N23" s="209">
        <f t="shared" si="9"/>
        <v>1239.2589719701075</v>
      </c>
      <c r="O23" s="209">
        <f t="shared" si="10"/>
        <v>1508.5214014946332</v>
      </c>
      <c r="P23" s="209">
        <f t="shared" si="11"/>
        <v>1146.2138404859511</v>
      </c>
      <c r="Q23" s="209">
        <f t="shared" si="12"/>
        <v>1064.5186504683068</v>
      </c>
      <c r="R23" s="209">
        <f t="shared" si="13"/>
        <v>1060.9544323467076</v>
      </c>
      <c r="S23" s="209">
        <f t="shared" si="14"/>
        <v>647.87419133230446</v>
      </c>
      <c r="T23" s="209">
        <f t="shared" si="15"/>
        <v>982.76357916841641</v>
      </c>
      <c r="U23" s="209">
        <f t="shared" si="16"/>
        <v>256.51641663167345</v>
      </c>
      <c r="V23" s="209">
        <f t="shared" si="17"/>
        <v>910.99611261719599</v>
      </c>
      <c r="W23" s="209">
        <f t="shared" si="18"/>
        <v>-111.44521028660654</v>
      </c>
      <c r="X23" s="209">
        <f t="shared" si="19"/>
        <v>845.07105053192754</v>
      </c>
      <c r="Y23" s="209">
        <f t="shared" si="20"/>
        <v>-457.73786474182134</v>
      </c>
      <c r="Z23" s="209">
        <f t="shared" si="21"/>
        <v>784.46469344669322</v>
      </c>
      <c r="AA23" s="209">
        <f t="shared" si="22"/>
        <v>-783.94116808366789</v>
      </c>
      <c r="AB23" s="209">
        <f t="shared" si="23"/>
        <v>728.7045183022949</v>
      </c>
      <c r="AC23" s="209">
        <f t="shared" si="24"/>
        <v>-1091.5013144699471</v>
      </c>
      <c r="AD23" s="209">
        <f t="shared" si="25"/>
        <v>677.36377108630245</v>
      </c>
      <c r="AE23" s="209">
        <f t="shared" si="26"/>
        <v>-1381.7437108630281</v>
      </c>
    </row>
    <row r="24" spans="1:31" ht="22.15" customHeight="1" x14ac:dyDescent="0.25">
      <c r="A24" s="214">
        <v>0.09</v>
      </c>
      <c r="B24" s="209">
        <f t="shared" si="0"/>
        <v>5134.2814670413954</v>
      </c>
      <c r="C24" s="208">
        <f>DPP_FromNPV(AC15:AC40,$I$15:$I$40,AB15:AB40)</f>
        <v>9.6896139301331683</v>
      </c>
      <c r="D24" s="208">
        <f t="shared" si="1"/>
        <v>2.9026305634717078</v>
      </c>
      <c r="E24" s="210">
        <f t="shared" si="2"/>
        <v>3.4999999999999996</v>
      </c>
      <c r="F24" s="210">
        <f t="shared" si="3"/>
        <v>0.42767609800398276</v>
      </c>
      <c r="G24" s="208">
        <f t="shared" si="4"/>
        <v>0.12219317085828081</v>
      </c>
      <c r="H24" s="205"/>
      <c r="I24" s="222">
        <v>9</v>
      </c>
      <c r="J24" s="209">
        <f t="shared" si="5"/>
        <v>1451.9894000000002</v>
      </c>
      <c r="K24" s="209">
        <f t="shared" si="6"/>
        <v>3939.9046000000026</v>
      </c>
      <c r="L24" s="209">
        <f t="shared" si="7"/>
        <v>1327.6117327942168</v>
      </c>
      <c r="M24" s="209">
        <f t="shared" si="8"/>
        <v>3309.7667205783105</v>
      </c>
      <c r="N24" s="209">
        <f t="shared" si="9"/>
        <v>1214.959776441282</v>
      </c>
      <c r="O24" s="209">
        <f t="shared" si="10"/>
        <v>2723.4811779359152</v>
      </c>
      <c r="P24" s="209">
        <f t="shared" si="11"/>
        <v>1112.8289713455836</v>
      </c>
      <c r="Q24" s="209">
        <f t="shared" si="12"/>
        <v>2177.3476218138903</v>
      </c>
      <c r="R24" s="209">
        <f t="shared" si="13"/>
        <v>1020.1484926410649</v>
      </c>
      <c r="S24" s="209">
        <f t="shared" si="14"/>
        <v>1668.0226839733693</v>
      </c>
      <c r="T24" s="209">
        <f t="shared" si="15"/>
        <v>935.96531349372981</v>
      </c>
      <c r="U24" s="209">
        <f t="shared" si="16"/>
        <v>1192.4817301254034</v>
      </c>
      <c r="V24" s="209">
        <f t="shared" si="17"/>
        <v>859.43029492188293</v>
      </c>
      <c r="W24" s="209">
        <f t="shared" si="18"/>
        <v>747.98508463527639</v>
      </c>
      <c r="X24" s="209">
        <f t="shared" si="19"/>
        <v>789.78602853451162</v>
      </c>
      <c r="Y24" s="209">
        <f t="shared" si="20"/>
        <v>332.04816379269027</v>
      </c>
      <c r="Z24" s="209">
        <f t="shared" si="21"/>
        <v>726.35619763582702</v>
      </c>
      <c r="AA24" s="209">
        <f t="shared" si="22"/>
        <v>-57.584970447840874</v>
      </c>
      <c r="AB24" s="209">
        <f t="shared" si="23"/>
        <v>668.53625532320621</v>
      </c>
      <c r="AC24" s="209">
        <f t="shared" si="24"/>
        <v>-422.96505914674094</v>
      </c>
      <c r="AD24" s="209">
        <f t="shared" si="25"/>
        <v>615.78524644209301</v>
      </c>
      <c r="AE24" s="209">
        <f t="shared" si="26"/>
        <v>-765.95846442093512</v>
      </c>
    </row>
    <row r="25" spans="1:31" ht="22.15" customHeight="1" x14ac:dyDescent="0.25">
      <c r="A25" s="210">
        <v>0.1</v>
      </c>
      <c r="B25" s="209">
        <f t="shared" si="0"/>
        <v>4051.765889844839</v>
      </c>
      <c r="C25" s="208">
        <f>DPP_FromNPV(AE15:AE40,$I$15:$I$40,AD15:AD40)</f>
        <v>10.405085981361664</v>
      </c>
      <c r="D25" s="208">
        <f t="shared" si="1"/>
        <v>3.6181026147002031</v>
      </c>
      <c r="E25" s="210">
        <f t="shared" si="2"/>
        <v>4</v>
      </c>
      <c r="F25" s="210">
        <f t="shared" si="3"/>
        <v>0.53309436891694639</v>
      </c>
      <c r="G25" s="208">
        <f t="shared" si="4"/>
        <v>0.1332735922292366</v>
      </c>
      <c r="H25" s="205"/>
      <c r="I25" s="222">
        <v>10</v>
      </c>
      <c r="J25" s="209">
        <f t="shared" si="5"/>
        <v>1451.9894000000002</v>
      </c>
      <c r="K25" s="209">
        <f t="shared" si="6"/>
        <v>5391.894000000003</v>
      </c>
      <c r="L25" s="209">
        <f t="shared" si="7"/>
        <v>1314.4670621724918</v>
      </c>
      <c r="M25" s="209">
        <f t="shared" si="8"/>
        <v>4624.2337827508018</v>
      </c>
      <c r="N25" s="209">
        <f t="shared" si="9"/>
        <v>1191.1370357267469</v>
      </c>
      <c r="O25" s="209">
        <f t="shared" si="10"/>
        <v>3914.6182136626621</v>
      </c>
      <c r="P25" s="209">
        <f t="shared" si="11"/>
        <v>1080.4164770345471</v>
      </c>
      <c r="Q25" s="209">
        <f t="shared" si="12"/>
        <v>3257.7640988484372</v>
      </c>
      <c r="R25" s="209">
        <f t="shared" si="13"/>
        <v>980.91201215487001</v>
      </c>
      <c r="S25" s="209">
        <f t="shared" si="14"/>
        <v>2648.9346961282395</v>
      </c>
      <c r="T25" s="209">
        <f t="shared" si="15"/>
        <v>891.39553666069514</v>
      </c>
      <c r="U25" s="209">
        <f t="shared" si="16"/>
        <v>2083.8772667860985</v>
      </c>
      <c r="V25" s="209">
        <f t="shared" si="17"/>
        <v>810.78329709611592</v>
      </c>
      <c r="W25" s="209">
        <f t="shared" si="18"/>
        <v>1558.7683817313923</v>
      </c>
      <c r="X25" s="209">
        <f t="shared" si="19"/>
        <v>738.11778367711372</v>
      </c>
      <c r="Y25" s="209">
        <f t="shared" si="20"/>
        <v>1070.165947469804</v>
      </c>
      <c r="Z25" s="209">
        <f t="shared" si="21"/>
        <v>672.5520348479879</v>
      </c>
      <c r="AA25" s="209">
        <f t="shared" si="22"/>
        <v>614.96706440014702</v>
      </c>
      <c r="AB25" s="209">
        <f t="shared" si="23"/>
        <v>613.33601405798731</v>
      </c>
      <c r="AC25" s="209">
        <f t="shared" si="24"/>
        <v>190.37095491124637</v>
      </c>
      <c r="AD25" s="209">
        <f t="shared" si="25"/>
        <v>559.80476949281183</v>
      </c>
      <c r="AE25" s="209">
        <f t="shared" si="26"/>
        <v>-206.15369492812329</v>
      </c>
    </row>
    <row r="26" spans="1:31" ht="22.15" customHeight="1" x14ac:dyDescent="0.25">
      <c r="A26" s="205"/>
      <c r="B26" s="205"/>
      <c r="C26" s="205"/>
      <c r="D26" s="205"/>
      <c r="E26" s="205"/>
      <c r="F26" s="205"/>
      <c r="G26" s="205"/>
      <c r="H26" s="205"/>
      <c r="I26" s="222">
        <v>11</v>
      </c>
      <c r="J26" s="209">
        <f t="shared" si="5"/>
        <v>1451.9894000000002</v>
      </c>
      <c r="K26" s="209">
        <f t="shared" si="6"/>
        <v>6843.8834000000033</v>
      </c>
      <c r="L26" s="209">
        <f t="shared" si="7"/>
        <v>1301.4525368044476</v>
      </c>
      <c r="M26" s="209">
        <f t="shared" si="8"/>
        <v>5925.6863195552496</v>
      </c>
      <c r="N26" s="209">
        <f t="shared" si="9"/>
        <v>1167.7814075752424</v>
      </c>
      <c r="O26" s="209">
        <f t="shared" si="10"/>
        <v>5082.3996212379043</v>
      </c>
      <c r="P26" s="209">
        <f t="shared" si="11"/>
        <v>1048.9480359558711</v>
      </c>
      <c r="Q26" s="209">
        <f t="shared" si="12"/>
        <v>4306.7121348043083</v>
      </c>
      <c r="R26" s="209">
        <f t="shared" si="13"/>
        <v>943.18462707199046</v>
      </c>
      <c r="S26" s="209">
        <f t="shared" si="14"/>
        <v>3592.1193232002297</v>
      </c>
      <c r="T26" s="209">
        <f t="shared" si="15"/>
        <v>848.94813015304283</v>
      </c>
      <c r="U26" s="209">
        <f t="shared" si="16"/>
        <v>2932.8253969391412</v>
      </c>
      <c r="V26" s="209">
        <f t="shared" si="17"/>
        <v>764.88990292086396</v>
      </c>
      <c r="W26" s="209">
        <f t="shared" si="18"/>
        <v>2323.658284652256</v>
      </c>
      <c r="X26" s="209">
        <f t="shared" si="19"/>
        <v>689.8297043711342</v>
      </c>
      <c r="Y26" s="209">
        <f t="shared" si="20"/>
        <v>1759.9956518409381</v>
      </c>
      <c r="Z26" s="209">
        <f t="shared" si="21"/>
        <v>622.73336559998882</v>
      </c>
      <c r="AA26" s="209">
        <f t="shared" si="22"/>
        <v>1237.7004300001358</v>
      </c>
      <c r="AB26" s="209">
        <f t="shared" si="23"/>
        <v>562.69359087888745</v>
      </c>
      <c r="AC26" s="209">
        <f t="shared" si="24"/>
        <v>753.06454579013382</v>
      </c>
      <c r="AD26" s="209">
        <f t="shared" si="25"/>
        <v>508.91342681164701</v>
      </c>
      <c r="AE26" s="209">
        <f t="shared" si="26"/>
        <v>302.75973188352373</v>
      </c>
    </row>
    <row r="27" spans="1:31" ht="22.15" customHeight="1" x14ac:dyDescent="0.25">
      <c r="A27" s="213"/>
      <c r="B27" s="205"/>
      <c r="C27" s="205"/>
      <c r="D27" s="205"/>
      <c r="E27" s="205"/>
      <c r="F27" s="205"/>
      <c r="G27" s="205"/>
      <c r="H27" s="205"/>
      <c r="I27" s="222">
        <v>12</v>
      </c>
      <c r="J27" s="209">
        <f t="shared" si="5"/>
        <v>1451.9894000000002</v>
      </c>
      <c r="K27" s="209">
        <f t="shared" si="6"/>
        <v>8295.8728000000028</v>
      </c>
      <c r="L27" s="209">
        <f t="shared" si="7"/>
        <v>1288.5668681232155</v>
      </c>
      <c r="M27" s="209">
        <f t="shared" si="8"/>
        <v>7214.2531876784651</v>
      </c>
      <c r="N27" s="209">
        <f t="shared" si="9"/>
        <v>1144.8837329169041</v>
      </c>
      <c r="O27" s="209">
        <f t="shared" si="10"/>
        <v>6227.283354154808</v>
      </c>
      <c r="P27" s="209">
        <f t="shared" si="11"/>
        <v>1018.3961514134671</v>
      </c>
      <c r="Q27" s="209">
        <f t="shared" si="12"/>
        <v>5325.1082862177755</v>
      </c>
      <c r="R27" s="209">
        <f t="shared" si="13"/>
        <v>906.90829526152913</v>
      </c>
      <c r="S27" s="209">
        <f t="shared" si="14"/>
        <v>4499.0276184617587</v>
      </c>
      <c r="T27" s="209">
        <f t="shared" si="15"/>
        <v>808.52202871718384</v>
      </c>
      <c r="U27" s="209">
        <f t="shared" si="16"/>
        <v>3741.347425656325</v>
      </c>
      <c r="V27" s="209">
        <f t="shared" si="17"/>
        <v>721.59424803855086</v>
      </c>
      <c r="W27" s="209">
        <f t="shared" si="18"/>
        <v>3045.2525326908071</v>
      </c>
      <c r="X27" s="209">
        <f t="shared" si="19"/>
        <v>644.70065829077976</v>
      </c>
      <c r="Y27" s="209">
        <f t="shared" si="20"/>
        <v>2404.6963101317178</v>
      </c>
      <c r="Z27" s="209">
        <f t="shared" si="21"/>
        <v>576.60496814813769</v>
      </c>
      <c r="AA27" s="209">
        <f t="shared" si="22"/>
        <v>1814.3053981482735</v>
      </c>
      <c r="AB27" s="209">
        <f t="shared" si="23"/>
        <v>516.23265218246559</v>
      </c>
      <c r="AC27" s="209">
        <f t="shared" si="24"/>
        <v>1269.2971979725994</v>
      </c>
      <c r="AD27" s="209">
        <f t="shared" si="25"/>
        <v>462.64856982877001</v>
      </c>
      <c r="AE27" s="209">
        <f t="shared" si="26"/>
        <v>765.40830171229368</v>
      </c>
    </row>
    <row r="28" spans="1:31" ht="22.15" customHeight="1" x14ac:dyDescent="0.25">
      <c r="A28" s="205"/>
      <c r="B28" s="205"/>
      <c r="C28" s="205"/>
      <c r="D28" s="205"/>
      <c r="E28" s="205"/>
      <c r="F28" s="205"/>
      <c r="G28" s="205"/>
      <c r="H28" s="205"/>
      <c r="I28" s="222">
        <v>13</v>
      </c>
      <c r="J28" s="209">
        <f t="shared" si="5"/>
        <v>1451.9894000000002</v>
      </c>
      <c r="K28" s="209">
        <f t="shared" si="6"/>
        <v>9747.8622000000032</v>
      </c>
      <c r="L28" s="209">
        <f t="shared" si="7"/>
        <v>1275.8087803200153</v>
      </c>
      <c r="M28" s="209">
        <f t="shared" si="8"/>
        <v>8490.0619679984811</v>
      </c>
      <c r="N28" s="209">
        <f t="shared" si="9"/>
        <v>1122.4350322714747</v>
      </c>
      <c r="O28" s="209">
        <f t="shared" si="10"/>
        <v>7349.7183864262824</v>
      </c>
      <c r="P28" s="209">
        <f t="shared" si="11"/>
        <v>988.73412758589052</v>
      </c>
      <c r="Q28" s="209">
        <f t="shared" si="12"/>
        <v>6313.8424138036662</v>
      </c>
      <c r="R28" s="209">
        <f t="shared" si="13"/>
        <v>872.02720698223948</v>
      </c>
      <c r="S28" s="209">
        <f t="shared" si="14"/>
        <v>5371.0548254439982</v>
      </c>
      <c r="T28" s="209">
        <f t="shared" si="15"/>
        <v>770.02097973065111</v>
      </c>
      <c r="U28" s="209">
        <f t="shared" si="16"/>
        <v>4511.3684053869765</v>
      </c>
      <c r="V28" s="209">
        <f t="shared" si="17"/>
        <v>680.7492906024064</v>
      </c>
      <c r="W28" s="209">
        <f t="shared" si="18"/>
        <v>3726.0018232932134</v>
      </c>
      <c r="X28" s="209">
        <f t="shared" si="19"/>
        <v>602.52397971100902</v>
      </c>
      <c r="Y28" s="209">
        <f t="shared" si="20"/>
        <v>3007.2202898427267</v>
      </c>
      <c r="Z28" s="209">
        <f t="shared" si="21"/>
        <v>533.89348902605343</v>
      </c>
      <c r="AA28" s="209">
        <f t="shared" si="22"/>
        <v>2348.198887174327</v>
      </c>
      <c r="AB28" s="209">
        <f t="shared" si="23"/>
        <v>473.60793778207841</v>
      </c>
      <c r="AC28" s="209">
        <f t="shared" si="24"/>
        <v>1742.9051357546778</v>
      </c>
      <c r="AD28" s="209">
        <f t="shared" si="25"/>
        <v>420.58960893524545</v>
      </c>
      <c r="AE28" s="209">
        <f t="shared" si="26"/>
        <v>1185.9979106475391</v>
      </c>
    </row>
    <row r="29" spans="1:31" ht="22.15" customHeight="1" x14ac:dyDescent="0.25">
      <c r="A29" s="205"/>
      <c r="B29" s="205"/>
      <c r="C29" s="205"/>
      <c r="D29" s="205"/>
      <c r="E29" s="205"/>
      <c r="F29" s="205"/>
      <c r="G29" s="205"/>
      <c r="H29" s="205"/>
      <c r="I29" s="222">
        <v>14</v>
      </c>
      <c r="J29" s="209">
        <f t="shared" si="5"/>
        <v>1451.9894000000002</v>
      </c>
      <c r="K29" s="209">
        <f t="shared" si="6"/>
        <v>11199.851600000004</v>
      </c>
      <c r="L29" s="209">
        <f t="shared" si="7"/>
        <v>1263.1770102178368</v>
      </c>
      <c r="M29" s="209">
        <f t="shared" si="8"/>
        <v>9753.2389782163173</v>
      </c>
      <c r="N29" s="209">
        <f t="shared" si="9"/>
        <v>1100.4265022269358</v>
      </c>
      <c r="O29" s="209">
        <f t="shared" si="10"/>
        <v>8450.144888653218</v>
      </c>
      <c r="P29" s="209">
        <f t="shared" si="11"/>
        <v>959.93604619989355</v>
      </c>
      <c r="Q29" s="209">
        <f t="shared" si="12"/>
        <v>7273.7784600035593</v>
      </c>
      <c r="R29" s="209">
        <f t="shared" si="13"/>
        <v>838.48769902138417</v>
      </c>
      <c r="S29" s="209">
        <f t="shared" si="14"/>
        <v>6209.5425244653825</v>
      </c>
      <c r="T29" s="209">
        <f t="shared" si="15"/>
        <v>733.35331402919167</v>
      </c>
      <c r="U29" s="209">
        <f t="shared" si="16"/>
        <v>5244.7217194161685</v>
      </c>
      <c r="V29" s="209">
        <f t="shared" si="17"/>
        <v>642.21631188906269</v>
      </c>
      <c r="W29" s="209">
        <f t="shared" si="18"/>
        <v>4368.2181351822765</v>
      </c>
      <c r="X29" s="209">
        <f t="shared" si="19"/>
        <v>563.10652309440104</v>
      </c>
      <c r="Y29" s="209">
        <f t="shared" si="20"/>
        <v>3570.3268129371277</v>
      </c>
      <c r="Z29" s="209">
        <f t="shared" si="21"/>
        <v>494.34582317227165</v>
      </c>
      <c r="AA29" s="209">
        <f t="shared" si="22"/>
        <v>2842.5447103465985</v>
      </c>
      <c r="AB29" s="209">
        <f t="shared" si="23"/>
        <v>434.50269521291597</v>
      </c>
      <c r="AC29" s="209">
        <f t="shared" si="24"/>
        <v>2177.4078309675938</v>
      </c>
      <c r="AD29" s="209">
        <f t="shared" si="25"/>
        <v>382.35418994113218</v>
      </c>
      <c r="AE29" s="209">
        <f t="shared" si="26"/>
        <v>1568.3521005886714</v>
      </c>
    </row>
    <row r="30" spans="1:31" ht="22.15" customHeight="1" x14ac:dyDescent="0.25">
      <c r="A30" s="211" t="s">
        <v>88</v>
      </c>
      <c r="B30" s="205"/>
      <c r="C30" s="205"/>
      <c r="D30" s="205"/>
      <c r="E30" s="205"/>
      <c r="F30" s="205"/>
      <c r="G30" s="205"/>
      <c r="H30" s="205"/>
      <c r="I30" s="222">
        <v>15</v>
      </c>
      <c r="J30" s="209">
        <f t="shared" si="5"/>
        <v>1451.9894000000002</v>
      </c>
      <c r="K30" s="209">
        <f t="shared" si="6"/>
        <v>12651.841000000004</v>
      </c>
      <c r="L30" s="209">
        <f t="shared" si="7"/>
        <v>1250.6703071463733</v>
      </c>
      <c r="M30" s="209">
        <f t="shared" si="8"/>
        <v>11003.90928536269</v>
      </c>
      <c r="N30" s="209">
        <f t="shared" si="9"/>
        <v>1078.8495119871923</v>
      </c>
      <c r="O30" s="209">
        <f t="shared" si="10"/>
        <v>9528.9944006404112</v>
      </c>
      <c r="P30" s="209">
        <f t="shared" si="11"/>
        <v>931.9767438833918</v>
      </c>
      <c r="Q30" s="209">
        <f t="shared" si="12"/>
        <v>8205.7552038869508</v>
      </c>
      <c r="R30" s="209">
        <f t="shared" si="13"/>
        <v>806.23817213594634</v>
      </c>
      <c r="S30" s="209">
        <f t="shared" si="14"/>
        <v>7015.7806966013286</v>
      </c>
      <c r="T30" s="209">
        <f t="shared" si="15"/>
        <v>698.43172764684903</v>
      </c>
      <c r="U30" s="209">
        <f t="shared" si="16"/>
        <v>5943.1534470630177</v>
      </c>
      <c r="V30" s="209">
        <f t="shared" si="17"/>
        <v>605.86444517836082</v>
      </c>
      <c r="W30" s="209">
        <f t="shared" si="18"/>
        <v>4974.0825803606376</v>
      </c>
      <c r="X30" s="209">
        <f t="shared" si="19"/>
        <v>526.26777859289814</v>
      </c>
      <c r="Y30" s="209">
        <f t="shared" si="20"/>
        <v>4096.5945915300254</v>
      </c>
      <c r="Z30" s="209">
        <f t="shared" si="21"/>
        <v>457.72761404839963</v>
      </c>
      <c r="AA30" s="209">
        <f t="shared" si="22"/>
        <v>3300.2723243949981</v>
      </c>
      <c r="AB30" s="209">
        <f t="shared" si="23"/>
        <v>398.62632588340915</v>
      </c>
      <c r="AC30" s="209">
        <f t="shared" si="24"/>
        <v>2576.034156851003</v>
      </c>
      <c r="AD30" s="209">
        <f t="shared" si="25"/>
        <v>347.59471812830196</v>
      </c>
      <c r="AE30" s="209">
        <f t="shared" si="26"/>
        <v>1915.9468187169734</v>
      </c>
    </row>
    <row r="31" spans="1:31" ht="22.15" customHeight="1" x14ac:dyDescent="0.25">
      <c r="A31" s="223" t="s">
        <v>89</v>
      </c>
      <c r="B31" s="209">
        <f>MIN($C$15:$C$25)</f>
        <v>6.2865472709373762</v>
      </c>
      <c r="C31" s="205"/>
      <c r="D31" s="205"/>
      <c r="E31" s="205"/>
      <c r="F31" s="205"/>
      <c r="G31" s="205"/>
      <c r="H31" s="205"/>
      <c r="I31" s="222">
        <v>16</v>
      </c>
      <c r="J31" s="209">
        <f t="shared" si="5"/>
        <v>1451.9894000000002</v>
      </c>
      <c r="K31" s="209">
        <f t="shared" si="6"/>
        <v>14103.830400000004</v>
      </c>
      <c r="L31" s="209">
        <f t="shared" si="7"/>
        <v>1238.2874328181911</v>
      </c>
      <c r="M31" s="209">
        <f t="shared" si="8"/>
        <v>12242.196718180881</v>
      </c>
      <c r="N31" s="209">
        <f t="shared" si="9"/>
        <v>1057.6955999874433</v>
      </c>
      <c r="O31" s="209">
        <f t="shared" si="10"/>
        <v>10586.690000627854</v>
      </c>
      <c r="P31" s="209">
        <f t="shared" si="11"/>
        <v>904.83179017805037</v>
      </c>
      <c r="Q31" s="209">
        <f t="shared" si="12"/>
        <v>9110.5869940650009</v>
      </c>
      <c r="R31" s="209">
        <f t="shared" si="13"/>
        <v>775.22901166917904</v>
      </c>
      <c r="S31" s="209">
        <f t="shared" si="14"/>
        <v>7791.0097082705079</v>
      </c>
      <c r="T31" s="209">
        <f t="shared" si="15"/>
        <v>665.17307394938007</v>
      </c>
      <c r="U31" s="209">
        <f t="shared" si="16"/>
        <v>6608.3265210123973</v>
      </c>
      <c r="V31" s="209">
        <f t="shared" si="17"/>
        <v>571.57023130034054</v>
      </c>
      <c r="W31" s="209">
        <f t="shared" si="18"/>
        <v>5545.6528116609779</v>
      </c>
      <c r="X31" s="209">
        <f t="shared" si="19"/>
        <v>491.83904541392354</v>
      </c>
      <c r="Y31" s="209">
        <f t="shared" si="20"/>
        <v>4588.4336369439488</v>
      </c>
      <c r="Z31" s="209">
        <f t="shared" si="21"/>
        <v>423.82186485962933</v>
      </c>
      <c r="AA31" s="209">
        <f t="shared" si="22"/>
        <v>3724.0941892546275</v>
      </c>
      <c r="AB31" s="209">
        <f t="shared" si="23"/>
        <v>365.71222558110924</v>
      </c>
      <c r="AC31" s="209">
        <f t="shared" si="24"/>
        <v>2941.7463824321121</v>
      </c>
      <c r="AD31" s="209">
        <f t="shared" si="25"/>
        <v>315.99519829845633</v>
      </c>
      <c r="AE31" s="209">
        <f t="shared" si="26"/>
        <v>2231.9420170154299</v>
      </c>
    </row>
    <row r="32" spans="1:31" ht="22.15" customHeight="1" x14ac:dyDescent="0.25">
      <c r="A32" s="223" t="s">
        <v>90</v>
      </c>
      <c r="B32" s="209">
        <f>MAX($C$15:$C$25)</f>
        <v>10.405085981361664</v>
      </c>
      <c r="C32" s="205"/>
      <c r="D32" s="205"/>
      <c r="E32" s="205"/>
      <c r="F32" s="205"/>
      <c r="G32" s="205"/>
      <c r="H32" s="205"/>
      <c r="I32" s="222">
        <v>17</v>
      </c>
      <c r="J32" s="209">
        <f t="shared" si="5"/>
        <v>1451.9894000000002</v>
      </c>
      <c r="K32" s="209">
        <f t="shared" si="6"/>
        <v>15555.819800000005</v>
      </c>
      <c r="L32" s="209">
        <f t="shared" si="7"/>
        <v>1226.0271612061297</v>
      </c>
      <c r="M32" s="209">
        <f t="shared" si="8"/>
        <v>13468.223879387011</v>
      </c>
      <c r="N32" s="209">
        <f t="shared" si="9"/>
        <v>1036.9564705759246</v>
      </c>
      <c r="O32" s="209">
        <f t="shared" si="10"/>
        <v>11623.646471203778</v>
      </c>
      <c r="P32" s="209">
        <f t="shared" si="11"/>
        <v>878.47746619228201</v>
      </c>
      <c r="Q32" s="209">
        <f t="shared" si="12"/>
        <v>9989.0644602572829</v>
      </c>
      <c r="R32" s="209">
        <f t="shared" si="13"/>
        <v>745.41251122036442</v>
      </c>
      <c r="S32" s="209">
        <f t="shared" si="14"/>
        <v>8536.4222194908725</v>
      </c>
      <c r="T32" s="209">
        <f t="shared" si="15"/>
        <v>633.49816566607615</v>
      </c>
      <c r="U32" s="209">
        <f t="shared" si="16"/>
        <v>7241.8246866784739</v>
      </c>
      <c r="V32" s="209">
        <f t="shared" si="17"/>
        <v>539.21719933994393</v>
      </c>
      <c r="W32" s="209">
        <f t="shared" si="18"/>
        <v>6084.8700110009222</v>
      </c>
      <c r="X32" s="209">
        <f t="shared" si="19"/>
        <v>459.66265926534908</v>
      </c>
      <c r="Y32" s="209">
        <f t="shared" si="20"/>
        <v>5048.0962962092981</v>
      </c>
      <c r="Z32" s="209">
        <f t="shared" si="21"/>
        <v>392.4276526478049</v>
      </c>
      <c r="AA32" s="209">
        <f t="shared" si="22"/>
        <v>4116.5218419024322</v>
      </c>
      <c r="AB32" s="209">
        <f t="shared" si="23"/>
        <v>335.51580328542133</v>
      </c>
      <c r="AC32" s="209">
        <f t="shared" si="24"/>
        <v>3277.2621857175336</v>
      </c>
      <c r="AD32" s="209">
        <f t="shared" si="25"/>
        <v>287.26836208950573</v>
      </c>
      <c r="AE32" s="209">
        <f t="shared" si="26"/>
        <v>2519.2103791049358</v>
      </c>
    </row>
    <row r="33" spans="1:31" ht="22.15" customHeight="1" x14ac:dyDescent="0.25">
      <c r="A33" s="223" t="s">
        <v>91</v>
      </c>
      <c r="B33" s="209">
        <f>B32-B31</f>
        <v>4.1185387104242874</v>
      </c>
      <c r="C33" s="205"/>
      <c r="D33" s="205"/>
      <c r="E33" s="205"/>
      <c r="F33" s="205"/>
      <c r="G33" s="205"/>
      <c r="H33" s="205"/>
      <c r="I33" s="222">
        <v>18</v>
      </c>
      <c r="J33" s="209">
        <f t="shared" si="5"/>
        <v>1451.9894000000002</v>
      </c>
      <c r="K33" s="209">
        <f t="shared" si="6"/>
        <v>17007.809200000003</v>
      </c>
      <c r="L33" s="209">
        <f t="shared" si="7"/>
        <v>1213.8882784219106</v>
      </c>
      <c r="M33" s="209">
        <f t="shared" si="8"/>
        <v>14682.112157808922</v>
      </c>
      <c r="N33" s="209">
        <f t="shared" si="9"/>
        <v>1016.6239907607105</v>
      </c>
      <c r="O33" s="209">
        <f t="shared" si="10"/>
        <v>12640.270461964488</v>
      </c>
      <c r="P33" s="209">
        <f t="shared" si="11"/>
        <v>852.89074387600192</v>
      </c>
      <c r="Q33" s="209">
        <f t="shared" si="12"/>
        <v>10841.955204133284</v>
      </c>
      <c r="R33" s="209">
        <f t="shared" si="13"/>
        <v>716.74279925035034</v>
      </c>
      <c r="S33" s="209">
        <f t="shared" si="14"/>
        <v>9253.1650187412233</v>
      </c>
      <c r="T33" s="209">
        <f t="shared" si="15"/>
        <v>603.33158634864401</v>
      </c>
      <c r="U33" s="209">
        <f t="shared" si="16"/>
        <v>7845.156273027118</v>
      </c>
      <c r="V33" s="209">
        <f t="shared" si="17"/>
        <v>508.69547107541877</v>
      </c>
      <c r="W33" s="209">
        <f t="shared" si="18"/>
        <v>6593.5654820763411</v>
      </c>
      <c r="X33" s="209">
        <f t="shared" si="19"/>
        <v>429.59127034144774</v>
      </c>
      <c r="Y33" s="209">
        <f t="shared" si="20"/>
        <v>5477.6875665507459</v>
      </c>
      <c r="Z33" s="209">
        <f t="shared" si="21"/>
        <v>363.35893763685635</v>
      </c>
      <c r="AA33" s="209">
        <f t="shared" si="22"/>
        <v>4479.8807795392886</v>
      </c>
      <c r="AB33" s="209">
        <f t="shared" si="23"/>
        <v>307.81266356460668</v>
      </c>
      <c r="AC33" s="209">
        <f t="shared" si="24"/>
        <v>3585.0748492821403</v>
      </c>
      <c r="AD33" s="209">
        <f t="shared" si="25"/>
        <v>261.15305644500523</v>
      </c>
      <c r="AE33" s="209">
        <f t="shared" si="26"/>
        <v>2780.3634355499412</v>
      </c>
    </row>
    <row r="34" spans="1:31" ht="22.15" customHeight="1" x14ac:dyDescent="0.25">
      <c r="A34" s="223" t="s">
        <v>92</v>
      </c>
      <c r="B34" s="209">
        <f>INDEX($B$15:$B$25,MATCH(MIN($A$15:$A$25),$A$15:$A$25,0))</f>
        <v>27171.735000000001</v>
      </c>
      <c r="C34" s="205"/>
      <c r="D34" s="205"/>
      <c r="E34" s="205"/>
      <c r="F34" s="205"/>
      <c r="G34" s="205"/>
      <c r="H34" s="205"/>
      <c r="I34" s="222">
        <v>19</v>
      </c>
      <c r="J34" s="209">
        <f t="shared" si="5"/>
        <v>1451.9894000000002</v>
      </c>
      <c r="K34" s="209">
        <f t="shared" si="6"/>
        <v>18459.798600000002</v>
      </c>
      <c r="L34" s="209">
        <f t="shared" si="7"/>
        <v>1201.8695825959512</v>
      </c>
      <c r="M34" s="209">
        <f t="shared" si="8"/>
        <v>15883.981740404874</v>
      </c>
      <c r="N34" s="209">
        <f t="shared" si="9"/>
        <v>996.69018702030451</v>
      </c>
      <c r="O34" s="209">
        <f t="shared" si="10"/>
        <v>13636.960648984792</v>
      </c>
      <c r="P34" s="209">
        <f t="shared" si="11"/>
        <v>828.04926589903096</v>
      </c>
      <c r="Q34" s="209">
        <f t="shared" si="12"/>
        <v>11670.004470032316</v>
      </c>
      <c r="R34" s="209">
        <f t="shared" si="13"/>
        <v>689.17576850995226</v>
      </c>
      <c r="S34" s="209">
        <f t="shared" si="14"/>
        <v>9942.3407872511762</v>
      </c>
      <c r="T34" s="209">
        <f t="shared" si="15"/>
        <v>574.60151080823232</v>
      </c>
      <c r="U34" s="209">
        <f t="shared" si="16"/>
        <v>8419.75778383535</v>
      </c>
      <c r="V34" s="209">
        <f t="shared" si="17"/>
        <v>479.9013878069988</v>
      </c>
      <c r="W34" s="209">
        <f t="shared" si="18"/>
        <v>7073.4668698833402</v>
      </c>
      <c r="X34" s="209">
        <f t="shared" si="19"/>
        <v>401.48716854340904</v>
      </c>
      <c r="Y34" s="209">
        <f t="shared" si="20"/>
        <v>5879.174735094155</v>
      </c>
      <c r="Z34" s="209">
        <f t="shared" si="21"/>
        <v>336.44346077486694</v>
      </c>
      <c r="AA34" s="209">
        <f t="shared" si="22"/>
        <v>4816.3242403141558</v>
      </c>
      <c r="AB34" s="209">
        <f t="shared" si="23"/>
        <v>282.39693905009784</v>
      </c>
      <c r="AC34" s="209">
        <f t="shared" si="24"/>
        <v>3867.4717883322382</v>
      </c>
      <c r="AD34" s="209">
        <f t="shared" si="25"/>
        <v>237.41186949545923</v>
      </c>
      <c r="AE34" s="209">
        <f t="shared" si="26"/>
        <v>3017.7753050454003</v>
      </c>
    </row>
    <row r="35" spans="1:31" ht="36.75" customHeight="1" x14ac:dyDescent="0.25">
      <c r="A35" s="223" t="s">
        <v>93</v>
      </c>
      <c r="B35" s="209">
        <f>INDEX($B$15:$B$25,MATCH(MAX($A$15:$A$25),$A$15:$A$25,0))</f>
        <v>4051.765889844839</v>
      </c>
      <c r="C35" s="205"/>
      <c r="D35" s="205"/>
      <c r="E35" s="205"/>
      <c r="F35" s="205"/>
      <c r="G35" s="205"/>
      <c r="H35" s="205"/>
      <c r="I35" s="222">
        <v>20</v>
      </c>
      <c r="J35" s="209">
        <f t="shared" si="5"/>
        <v>1451.9894000000002</v>
      </c>
      <c r="K35" s="209">
        <f t="shared" si="6"/>
        <v>19911.788</v>
      </c>
      <c r="L35" s="209">
        <f t="shared" si="7"/>
        <v>1189.9698837583676</v>
      </c>
      <c r="M35" s="209">
        <f t="shared" si="8"/>
        <v>17073.951624163241</v>
      </c>
      <c r="N35" s="209">
        <f t="shared" si="9"/>
        <v>977.14724217676894</v>
      </c>
      <c r="O35" s="209">
        <f t="shared" si="10"/>
        <v>14614.10789116156</v>
      </c>
      <c r="P35" s="209">
        <f t="shared" si="11"/>
        <v>803.93132611556405</v>
      </c>
      <c r="Q35" s="209">
        <f t="shared" si="12"/>
        <v>12473.93579614788</v>
      </c>
      <c r="R35" s="209">
        <f t="shared" si="13"/>
        <v>662.66900818264639</v>
      </c>
      <c r="S35" s="209">
        <f t="shared" si="14"/>
        <v>10605.009795433823</v>
      </c>
      <c r="T35" s="209">
        <f t="shared" si="15"/>
        <v>547.23953410307843</v>
      </c>
      <c r="U35" s="209">
        <f t="shared" si="16"/>
        <v>8966.9973179384288</v>
      </c>
      <c r="V35" s="209">
        <f t="shared" si="17"/>
        <v>452.73715830848943</v>
      </c>
      <c r="W35" s="209">
        <f t="shared" si="18"/>
        <v>7526.2040281918298</v>
      </c>
      <c r="X35" s="209">
        <f t="shared" si="19"/>
        <v>375.22165284430758</v>
      </c>
      <c r="Y35" s="209">
        <f t="shared" si="20"/>
        <v>6254.3963879384628</v>
      </c>
      <c r="Z35" s="209">
        <f t="shared" si="21"/>
        <v>311.52172293969164</v>
      </c>
      <c r="AA35" s="209">
        <f t="shared" si="22"/>
        <v>5127.845963253847</v>
      </c>
      <c r="AB35" s="209">
        <f t="shared" si="23"/>
        <v>259.0797605964201</v>
      </c>
      <c r="AC35" s="209">
        <f t="shared" si="24"/>
        <v>4126.5515489286581</v>
      </c>
      <c r="AD35" s="209">
        <f t="shared" si="25"/>
        <v>215.8289722685993</v>
      </c>
      <c r="AE35" s="209">
        <f t="shared" si="26"/>
        <v>3233.6042773139998</v>
      </c>
    </row>
    <row r="36" spans="1:31" ht="36" customHeight="1" x14ac:dyDescent="0.25">
      <c r="A36" s="206" t="s">
        <v>94</v>
      </c>
      <c r="B36" s="208">
        <f>AVERAGE(ABS(G15),ABS(G16),ABS(G18),ABS(G19),ABS(G20),ABS(G21),ABS(G22),ABS(G23),ABS(G24),ABS(G25))</f>
        <v>9.894630162472598E-2</v>
      </c>
      <c r="C36" s="205"/>
      <c r="D36" s="205"/>
      <c r="E36" s="205"/>
      <c r="F36" s="205"/>
      <c r="G36" s="205"/>
      <c r="H36" s="205"/>
      <c r="I36" s="222">
        <v>21</v>
      </c>
      <c r="J36" s="209">
        <f t="shared" si="5"/>
        <v>1451.9894000000002</v>
      </c>
      <c r="K36" s="209">
        <f t="shared" si="6"/>
        <v>21363.777399999999</v>
      </c>
      <c r="L36" s="209">
        <f t="shared" si="7"/>
        <v>1178.1880037211561</v>
      </c>
      <c r="M36" s="209">
        <f t="shared" si="8"/>
        <v>18252.139627884397</v>
      </c>
      <c r="N36" s="209">
        <f t="shared" si="9"/>
        <v>957.98749233016576</v>
      </c>
      <c r="O36" s="209">
        <f t="shared" si="10"/>
        <v>15572.095383491725</v>
      </c>
      <c r="P36" s="209">
        <f t="shared" si="11"/>
        <v>780.51585059763511</v>
      </c>
      <c r="Q36" s="209">
        <f t="shared" si="12"/>
        <v>13254.451646745514</v>
      </c>
      <c r="R36" s="209">
        <f t="shared" si="13"/>
        <v>637.18173863715981</v>
      </c>
      <c r="S36" s="209">
        <f t="shared" si="14"/>
        <v>11242.191534070984</v>
      </c>
      <c r="T36" s="209">
        <f t="shared" si="15"/>
        <v>521.18050866959857</v>
      </c>
      <c r="U36" s="209">
        <f t="shared" si="16"/>
        <v>9488.1778266080273</v>
      </c>
      <c r="V36" s="209">
        <f t="shared" si="17"/>
        <v>427.11052670612202</v>
      </c>
      <c r="W36" s="209">
        <f t="shared" si="18"/>
        <v>7953.3145548979519</v>
      </c>
      <c r="X36" s="209">
        <f t="shared" si="19"/>
        <v>350.67444191056779</v>
      </c>
      <c r="Y36" s="209">
        <f t="shared" si="20"/>
        <v>6605.0708298490308</v>
      </c>
      <c r="Z36" s="209">
        <f t="shared" si="21"/>
        <v>288.44603975897371</v>
      </c>
      <c r="AA36" s="209">
        <f t="shared" si="22"/>
        <v>5416.2920030128207</v>
      </c>
      <c r="AB36" s="209">
        <f t="shared" si="23"/>
        <v>237.68785375818351</v>
      </c>
      <c r="AC36" s="209">
        <f t="shared" si="24"/>
        <v>4364.2394026868415</v>
      </c>
      <c r="AD36" s="209">
        <f t="shared" si="25"/>
        <v>196.20815660781753</v>
      </c>
      <c r="AE36" s="209">
        <f t="shared" si="26"/>
        <v>3429.8124339218175</v>
      </c>
    </row>
    <row r="37" spans="1:31" ht="22.15" customHeight="1" x14ac:dyDescent="0.25">
      <c r="A37" s="205"/>
      <c r="B37" s="205"/>
      <c r="C37" s="205"/>
      <c r="D37" s="205"/>
      <c r="E37" s="205"/>
      <c r="F37" s="205"/>
      <c r="G37" s="205"/>
      <c r="H37" s="205"/>
      <c r="I37" s="222">
        <v>22</v>
      </c>
      <c r="J37" s="209">
        <f t="shared" si="5"/>
        <v>1451.9894000000002</v>
      </c>
      <c r="K37" s="209">
        <f t="shared" si="6"/>
        <v>22815.766799999998</v>
      </c>
      <c r="L37" s="209">
        <f t="shared" si="7"/>
        <v>1166.5227759615404</v>
      </c>
      <c r="M37" s="209">
        <f t="shared" si="8"/>
        <v>19418.662403845938</v>
      </c>
      <c r="N37" s="209">
        <f t="shared" si="9"/>
        <v>939.20342385310357</v>
      </c>
      <c r="O37" s="209">
        <f t="shared" si="10"/>
        <v>16511.298807344829</v>
      </c>
      <c r="P37" s="209">
        <f t="shared" si="11"/>
        <v>757.78237922100493</v>
      </c>
      <c r="Q37" s="209">
        <f t="shared" si="12"/>
        <v>14012.23402596652</v>
      </c>
      <c r="R37" s="209">
        <f t="shared" si="13"/>
        <v>612.67474868957686</v>
      </c>
      <c r="S37" s="209">
        <f t="shared" si="14"/>
        <v>11854.86628276056</v>
      </c>
      <c r="T37" s="209">
        <f t="shared" si="15"/>
        <v>496.3623892091415</v>
      </c>
      <c r="U37" s="209">
        <f t="shared" si="16"/>
        <v>9984.5402158171692</v>
      </c>
      <c r="V37" s="209">
        <f t="shared" si="17"/>
        <v>402.93445915671884</v>
      </c>
      <c r="W37" s="209">
        <f t="shared" si="18"/>
        <v>8356.2490140546706</v>
      </c>
      <c r="X37" s="209">
        <f t="shared" si="19"/>
        <v>327.73312328090446</v>
      </c>
      <c r="Y37" s="209">
        <f t="shared" si="20"/>
        <v>6932.8039531299355</v>
      </c>
      <c r="Z37" s="209">
        <f t="shared" si="21"/>
        <v>267.07966644349415</v>
      </c>
      <c r="AA37" s="209">
        <f t="shared" si="22"/>
        <v>5683.3716694563145</v>
      </c>
      <c r="AB37" s="209">
        <f t="shared" si="23"/>
        <v>218.06225115429677</v>
      </c>
      <c r="AC37" s="209">
        <f t="shared" si="24"/>
        <v>4582.3016538411384</v>
      </c>
      <c r="AD37" s="209">
        <f t="shared" si="25"/>
        <v>178.37105146165229</v>
      </c>
      <c r="AE37" s="209">
        <f t="shared" si="26"/>
        <v>3608.1834853834698</v>
      </c>
    </row>
    <row r="38" spans="1:31" ht="22.15" customHeight="1" x14ac:dyDescent="0.25">
      <c r="A38" s="205"/>
      <c r="B38" s="205"/>
      <c r="C38" s="205"/>
      <c r="D38" s="205"/>
      <c r="E38" s="205"/>
      <c r="F38" s="205"/>
      <c r="G38" s="205"/>
      <c r="H38" s="205"/>
      <c r="I38" s="222">
        <v>23</v>
      </c>
      <c r="J38" s="209">
        <f t="shared" si="5"/>
        <v>1451.9894000000002</v>
      </c>
      <c r="K38" s="209">
        <f t="shared" si="6"/>
        <v>24267.756199999996</v>
      </c>
      <c r="L38" s="209">
        <f t="shared" si="7"/>
        <v>1154.9730455064757</v>
      </c>
      <c r="M38" s="209">
        <f t="shared" si="8"/>
        <v>20573.635449352412</v>
      </c>
      <c r="N38" s="209">
        <f t="shared" si="9"/>
        <v>920.78767044421943</v>
      </c>
      <c r="O38" s="209">
        <f t="shared" si="10"/>
        <v>17432.086477789049</v>
      </c>
      <c r="P38" s="209">
        <f t="shared" si="11"/>
        <v>735.71104778738334</v>
      </c>
      <c r="Q38" s="209">
        <f t="shared" si="12"/>
        <v>14747.945073753903</v>
      </c>
      <c r="R38" s="209">
        <f t="shared" si="13"/>
        <v>589.11033527843927</v>
      </c>
      <c r="S38" s="209">
        <f t="shared" si="14"/>
        <v>12443.976618039</v>
      </c>
      <c r="T38" s="209">
        <f t="shared" si="15"/>
        <v>472.72608496108705</v>
      </c>
      <c r="U38" s="209">
        <f t="shared" si="16"/>
        <v>10457.266300778256</v>
      </c>
      <c r="V38" s="209">
        <f t="shared" si="17"/>
        <v>380.1268482610555</v>
      </c>
      <c r="W38" s="209">
        <f t="shared" si="18"/>
        <v>8736.3758623157264</v>
      </c>
      <c r="X38" s="209">
        <f t="shared" si="19"/>
        <v>306.29263858028457</v>
      </c>
      <c r="Y38" s="209">
        <f t="shared" si="20"/>
        <v>7239.0965917102203</v>
      </c>
      <c r="Z38" s="209">
        <f t="shared" si="21"/>
        <v>247.29598744767978</v>
      </c>
      <c r="AA38" s="209">
        <f t="shared" si="22"/>
        <v>5930.6676569039946</v>
      </c>
      <c r="AB38" s="209">
        <f t="shared" si="23"/>
        <v>200.057111150731</v>
      </c>
      <c r="AC38" s="209">
        <f t="shared" si="24"/>
        <v>4782.3587649918691</v>
      </c>
      <c r="AD38" s="209">
        <f t="shared" si="25"/>
        <v>162.15550132877479</v>
      </c>
      <c r="AE38" s="209">
        <f t="shared" si="26"/>
        <v>3770.3389867122446</v>
      </c>
    </row>
    <row r="39" spans="1:31" ht="22.15" customHeight="1" x14ac:dyDescent="0.25">
      <c r="A39" s="205"/>
      <c r="B39" s="205"/>
      <c r="C39" s="205"/>
      <c r="D39" s="205"/>
      <c r="E39" s="205"/>
      <c r="F39" s="205"/>
      <c r="G39" s="205"/>
      <c r="H39" s="205"/>
      <c r="I39" s="222">
        <v>24</v>
      </c>
      <c r="J39" s="209">
        <f t="shared" si="5"/>
        <v>1451.9894000000002</v>
      </c>
      <c r="K39" s="209">
        <f t="shared" si="6"/>
        <v>25719.745599999995</v>
      </c>
      <c r="L39" s="209">
        <f t="shared" si="7"/>
        <v>1143.5376688182926</v>
      </c>
      <c r="M39" s="209">
        <f t="shared" si="8"/>
        <v>21717.173118170704</v>
      </c>
      <c r="N39" s="209">
        <f t="shared" si="9"/>
        <v>902.73301023943077</v>
      </c>
      <c r="O39" s="209">
        <f t="shared" si="10"/>
        <v>18334.819488028479</v>
      </c>
      <c r="P39" s="209">
        <f t="shared" si="11"/>
        <v>714.28257066736262</v>
      </c>
      <c r="Q39" s="209">
        <f t="shared" si="12"/>
        <v>15462.227644421266</v>
      </c>
      <c r="R39" s="209">
        <f t="shared" si="13"/>
        <v>566.45224546003772</v>
      </c>
      <c r="S39" s="209">
        <f t="shared" si="14"/>
        <v>13010.428863499037</v>
      </c>
      <c r="T39" s="209">
        <f t="shared" si="15"/>
        <v>450.21531901055914</v>
      </c>
      <c r="U39" s="209">
        <f t="shared" si="16"/>
        <v>10907.481619788814</v>
      </c>
      <c r="V39" s="209">
        <f t="shared" si="17"/>
        <v>358.61023420854298</v>
      </c>
      <c r="W39" s="209">
        <f t="shared" si="18"/>
        <v>9094.9860965242697</v>
      </c>
      <c r="X39" s="209">
        <f t="shared" si="19"/>
        <v>286.25480241148091</v>
      </c>
      <c r="Y39" s="209">
        <f t="shared" si="20"/>
        <v>7525.3513941217016</v>
      </c>
      <c r="Z39" s="209">
        <f t="shared" si="21"/>
        <v>228.97776615525905</v>
      </c>
      <c r="AA39" s="209">
        <f t="shared" si="22"/>
        <v>6159.6454230592535</v>
      </c>
      <c r="AB39" s="209">
        <f t="shared" si="23"/>
        <v>183.53863408323943</v>
      </c>
      <c r="AC39" s="209">
        <f t="shared" si="24"/>
        <v>4965.8973990751083</v>
      </c>
      <c r="AD39" s="209">
        <f t="shared" si="25"/>
        <v>147.41409211706801</v>
      </c>
      <c r="AE39" s="209">
        <f t="shared" si="26"/>
        <v>3917.7530788293125</v>
      </c>
    </row>
    <row r="40" spans="1:31" ht="22.15" customHeight="1" x14ac:dyDescent="0.25">
      <c r="A40" s="205"/>
      <c r="B40" s="205"/>
      <c r="C40" s="205"/>
      <c r="D40" s="205"/>
      <c r="E40" s="205"/>
      <c r="F40" s="205"/>
      <c r="G40" s="205"/>
      <c r="H40" s="205"/>
      <c r="I40" s="222">
        <v>25</v>
      </c>
      <c r="J40" s="209">
        <f t="shared" si="5"/>
        <v>1451.9894000000002</v>
      </c>
      <c r="K40" s="209">
        <f t="shared" si="6"/>
        <v>27171.734999999993</v>
      </c>
      <c r="L40" s="209">
        <f t="shared" si="7"/>
        <v>1132.2155136814777</v>
      </c>
      <c r="M40" s="209">
        <f t="shared" si="8"/>
        <v>22849.38863185218</v>
      </c>
      <c r="N40" s="209">
        <f t="shared" si="9"/>
        <v>885.03236297983403</v>
      </c>
      <c r="O40" s="209">
        <f t="shared" si="10"/>
        <v>19219.851851008312</v>
      </c>
      <c r="P40" s="209">
        <f t="shared" si="11"/>
        <v>693.47822394889579</v>
      </c>
      <c r="Q40" s="209">
        <f t="shared" si="12"/>
        <v>16155.705868370162</v>
      </c>
      <c r="R40" s="209">
        <f t="shared" si="13"/>
        <v>544.66562063465153</v>
      </c>
      <c r="S40" s="209">
        <f t="shared" si="14"/>
        <v>13555.09448413369</v>
      </c>
      <c r="T40" s="209">
        <f t="shared" si="15"/>
        <v>428.77649429577065</v>
      </c>
      <c r="U40" s="209">
        <f t="shared" si="16"/>
        <v>11336.258114084585</v>
      </c>
      <c r="V40" s="209">
        <f t="shared" si="17"/>
        <v>338.31154170617259</v>
      </c>
      <c r="W40" s="209">
        <f t="shared" si="18"/>
        <v>9433.2976382304423</v>
      </c>
      <c r="X40" s="209">
        <f t="shared" si="19"/>
        <v>267.52785272101016</v>
      </c>
      <c r="Y40" s="209">
        <f t="shared" si="20"/>
        <v>7792.8792468427118</v>
      </c>
      <c r="Z40" s="209">
        <f t="shared" si="21"/>
        <v>212.01645014375833</v>
      </c>
      <c r="AA40" s="209">
        <f t="shared" si="22"/>
        <v>6371.661873203012</v>
      </c>
      <c r="AB40" s="209">
        <f t="shared" si="23"/>
        <v>168.3840679662747</v>
      </c>
      <c r="AC40" s="209">
        <f t="shared" si="24"/>
        <v>5134.2814670413827</v>
      </c>
      <c r="AD40" s="209">
        <f t="shared" si="25"/>
        <v>134.01281101551635</v>
      </c>
      <c r="AE40" s="209">
        <f t="shared" si="26"/>
        <v>4051.765889844829</v>
      </c>
    </row>
    <row r="41" spans="1:31" ht="22.15" customHeight="1" x14ac:dyDescent="0.25">
      <c r="A41" s="205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</row>
    <row r="42" spans="1:31" ht="22.15" customHeight="1" x14ac:dyDescent="0.25">
      <c r="A42" s="205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</row>
    <row r="43" spans="1:31" ht="22.15" customHeight="1" x14ac:dyDescent="0.25">
      <c r="A43" s="205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</row>
    <row r="44" spans="1:31" ht="22.15" customHeight="1" x14ac:dyDescent="0.25">
      <c r="A44" s="205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</row>
    <row r="45" spans="1:31" ht="22.15" customHeight="1" x14ac:dyDescent="0.25">
      <c r="A45" s="205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</row>
    <row r="46" spans="1:31" ht="22.15" customHeight="1" x14ac:dyDescent="0.25">
      <c r="A46" s="205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</row>
    <row r="47" spans="1:31" ht="22.15" customHeight="1" x14ac:dyDescent="0.25">
      <c r="A47" s="205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</row>
    <row r="48" spans="1:31" ht="22.15" customHeight="1" x14ac:dyDescent="0.25">
      <c r="A48" s="205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</row>
    <row r="49" spans="1:31" ht="22.15" customHeight="1" x14ac:dyDescent="0.25">
      <c r="A49" s="205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5"/>
      <c r="AE49" s="205"/>
    </row>
    <row r="50" spans="1:31" ht="22.15" customHeight="1" x14ac:dyDescent="0.25">
      <c r="A50" s="205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5"/>
    </row>
    <row r="51" spans="1:31" ht="22.15" customHeight="1" x14ac:dyDescent="0.25">
      <c r="A51" s="205"/>
      <c r="B51" s="205"/>
      <c r="C51" s="20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</row>
    <row r="52" spans="1:31" ht="22.15" customHeight="1" x14ac:dyDescent="0.25">
      <c r="A52" s="205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</row>
    <row r="53" spans="1:31" ht="22.15" customHeight="1" x14ac:dyDescent="0.25">
      <c r="A53" s="205"/>
      <c r="B53" s="205"/>
      <c r="C53" s="20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</row>
    <row r="54" spans="1:31" ht="22.15" customHeight="1" x14ac:dyDescent="0.25">
      <c r="A54" s="205"/>
      <c r="B54" s="205"/>
      <c r="C54" s="20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</row>
    <row r="55" spans="1:31" ht="22.15" customHeight="1" x14ac:dyDescent="0.25">
      <c r="A55" s="205"/>
      <c r="B55" s="205"/>
      <c r="C55" s="20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</row>
    <row r="56" spans="1:31" ht="22.15" customHeight="1" x14ac:dyDescent="0.25">
      <c r="A56" s="205"/>
      <c r="B56" s="205"/>
      <c r="C56" s="20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</row>
    <row r="57" spans="1:31" ht="22.15" customHeight="1" x14ac:dyDescent="0.25">
      <c r="A57" s="205"/>
      <c r="B57" s="205"/>
      <c r="C57" s="20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</row>
    <row r="58" spans="1:31" ht="22.15" customHeight="1" x14ac:dyDescent="0.25">
      <c r="A58" s="205"/>
      <c r="B58" s="205"/>
      <c r="C58" s="205"/>
      <c r="D58" s="205"/>
      <c r="E58" s="205"/>
      <c r="F58" s="205"/>
      <c r="G58" s="205"/>
      <c r="H58" s="205"/>
      <c r="I58" s="205"/>
      <c r="J58" s="205"/>
      <c r="K58" s="205"/>
      <c r="L58" s="205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/>
      <c r="AC58" s="205"/>
      <c r="AD58" s="205"/>
      <c r="AE58" s="205"/>
    </row>
    <row r="59" spans="1:31" ht="22.15" customHeight="1" x14ac:dyDescent="0.25">
      <c r="A59" s="205"/>
      <c r="B59" s="205"/>
      <c r="C59" s="205"/>
      <c r="D59" s="205"/>
      <c r="E59" s="205"/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/>
      <c r="AC59" s="205"/>
      <c r="AD59" s="205"/>
      <c r="AE59" s="205"/>
    </row>
    <row r="60" spans="1:31" ht="22.15" customHeight="1" x14ac:dyDescent="0.25">
      <c r="A60" s="205"/>
      <c r="B60" s="205"/>
      <c r="C60" s="205"/>
      <c r="D60" s="205"/>
      <c r="E60" s="205"/>
      <c r="F60" s="205"/>
      <c r="G60" s="205"/>
      <c r="H60" s="205"/>
      <c r="I60" s="205"/>
      <c r="J60" s="205"/>
      <c r="K60" s="205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/>
      <c r="AC60" s="205"/>
      <c r="AD60" s="205"/>
      <c r="AE60" s="205"/>
    </row>
    <row r="61" spans="1:31" x14ac:dyDescent="0.25">
      <c r="A61" s="205"/>
      <c r="B61" s="205"/>
      <c r="C61" s="205"/>
      <c r="D61" s="205"/>
      <c r="E61" s="205"/>
      <c r="F61" s="205"/>
      <c r="G61" s="205"/>
      <c r="H61" s="205"/>
      <c r="I61" s="205"/>
      <c r="J61" s="205"/>
      <c r="K61" s="205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</row>
    <row r="62" spans="1:31" x14ac:dyDescent="0.25">
      <c r="A62" s="205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</row>
    <row r="63" spans="1:31" x14ac:dyDescent="0.25">
      <c r="A63" s="205"/>
      <c r="B63" s="205"/>
      <c r="C63" s="205"/>
      <c r="D63" s="205"/>
      <c r="E63" s="205"/>
      <c r="F63" s="205"/>
      <c r="G63" s="205"/>
      <c r="H63" s="205"/>
      <c r="I63" s="205"/>
      <c r="J63" s="205"/>
      <c r="K63" s="205"/>
      <c r="L63" s="205"/>
      <c r="M63" s="205"/>
      <c r="N63" s="205"/>
      <c r="O63" s="205"/>
      <c r="P63" s="205"/>
      <c r="Q63" s="205"/>
      <c r="R63" s="205"/>
      <c r="S63" s="205"/>
      <c r="T63" s="205"/>
      <c r="U63" s="205"/>
      <c r="V63" s="205"/>
      <c r="W63" s="205"/>
      <c r="X63" s="205"/>
      <c r="Y63" s="205"/>
      <c r="Z63" s="205"/>
      <c r="AA63" s="205"/>
      <c r="AB63" s="205"/>
      <c r="AC63" s="205"/>
      <c r="AD63" s="205"/>
      <c r="AE63" s="205"/>
    </row>
    <row r="64" spans="1:31" x14ac:dyDescent="0.25">
      <c r="A64" s="205"/>
      <c r="B64" s="205"/>
      <c r="C64" s="205"/>
      <c r="D64" s="205"/>
      <c r="E64" s="205"/>
      <c r="F64" s="205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5"/>
      <c r="AE64" s="205"/>
    </row>
    <row r="65" spans="1:31" x14ac:dyDescent="0.25">
      <c r="A65" s="205"/>
      <c r="B65" s="205"/>
      <c r="C65" s="205"/>
      <c r="D65" s="205"/>
      <c r="E65" s="205"/>
      <c r="F65" s="205"/>
      <c r="G65" s="205"/>
      <c r="H65" s="205"/>
      <c r="I65" s="205"/>
      <c r="J65" s="205"/>
      <c r="K65" s="205"/>
      <c r="L65" s="205"/>
      <c r="M65" s="205"/>
      <c r="N65" s="205"/>
      <c r="O65" s="205"/>
      <c r="P65" s="205"/>
      <c r="Q65" s="205"/>
      <c r="R65" s="205"/>
      <c r="S65" s="205"/>
      <c r="T65" s="205"/>
      <c r="U65" s="205"/>
      <c r="V65" s="205"/>
      <c r="W65" s="205"/>
      <c r="X65" s="205"/>
      <c r="Y65" s="205"/>
      <c r="Z65" s="205"/>
      <c r="AA65" s="205"/>
      <c r="AB65" s="205"/>
      <c r="AC65" s="205"/>
      <c r="AD65" s="205"/>
      <c r="AE65" s="205"/>
    </row>
    <row r="66" spans="1:31" x14ac:dyDescent="0.25">
      <c r="A66" s="205"/>
      <c r="B66" s="205"/>
      <c r="C66" s="205"/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5"/>
      <c r="P66" s="205"/>
      <c r="Q66" s="205"/>
      <c r="R66" s="205"/>
      <c r="S66" s="205"/>
      <c r="T66" s="205"/>
      <c r="U66" s="205"/>
      <c r="V66" s="205"/>
      <c r="W66" s="205"/>
      <c r="X66" s="205"/>
      <c r="Y66" s="205"/>
      <c r="Z66" s="205"/>
      <c r="AA66" s="205"/>
      <c r="AB66" s="205"/>
      <c r="AC66" s="205"/>
      <c r="AD66" s="205"/>
      <c r="AE66" s="205"/>
    </row>
    <row r="67" spans="1:31" ht="89.25" x14ac:dyDescent="0.25">
      <c r="A67" s="205" t="s">
        <v>95</v>
      </c>
      <c r="B67" s="205"/>
      <c r="C67" s="205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/>
      <c r="Z67" s="205"/>
      <c r="AA67" s="205"/>
      <c r="AB67" s="205"/>
      <c r="AC67" s="205"/>
      <c r="AD67" s="205"/>
      <c r="AE67" s="205"/>
    </row>
  </sheetData>
  <sheetProtection sheet="1" objects="1" scenarios="1"/>
  <autoFilter ref="A14:G25" xr:uid="{00000000-0009-0000-0000-000003000000}"/>
  <mergeCells count="1">
    <mergeCell ref="A1:G1"/>
  </mergeCells>
  <pageMargins left="0.75" right="0.75" top="1" bottom="1" header="0.5" footer="0.5"/>
  <pageSetup paperSize="9" fitToHeight="0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>
    <pageSetUpPr fitToPage="1"/>
  </sheetPr>
  <dimension ref="A1:AE67"/>
  <sheetViews>
    <sheetView showGridLines="0" topLeftCell="A25" zoomScale="70" zoomScaleNormal="70" workbookViewId="0">
      <selection activeCell="O17" sqref="O17"/>
    </sheetView>
  </sheetViews>
  <sheetFormatPr defaultRowHeight="15" x14ac:dyDescent="0.25"/>
  <cols>
    <col min="1" max="1" width="40.7109375" customWidth="1"/>
    <col min="2" max="2" width="23.85546875" bestFit="1" customWidth="1"/>
    <col min="3" max="3" width="18.140625" bestFit="1" customWidth="1"/>
    <col min="4" max="4" width="24.7109375" customWidth="1"/>
    <col min="5" max="5" width="23.5703125" bestFit="1" customWidth="1"/>
    <col min="6" max="6" width="19" bestFit="1" customWidth="1"/>
    <col min="7" max="7" width="24.7109375" customWidth="1"/>
    <col min="8" max="8" width="20.5703125" customWidth="1"/>
    <col min="9" max="9" width="6.140625" bestFit="1" customWidth="1"/>
    <col min="10" max="10" width="11.28515625" bestFit="1" customWidth="1"/>
    <col min="11" max="11" width="14.7109375" bestFit="1" customWidth="1"/>
    <col min="12" max="12" width="11.28515625" bestFit="1" customWidth="1"/>
    <col min="13" max="13" width="14.7109375" bestFit="1" customWidth="1"/>
    <col min="14" max="14" width="11.28515625" bestFit="1" customWidth="1"/>
    <col min="15" max="15" width="14.7109375" bestFit="1" customWidth="1"/>
    <col min="16" max="16" width="11.28515625" bestFit="1" customWidth="1"/>
    <col min="17" max="17" width="14.7109375" bestFit="1" customWidth="1"/>
    <col min="18" max="18" width="11.28515625" bestFit="1" customWidth="1"/>
    <col min="19" max="19" width="14.7109375" bestFit="1" customWidth="1"/>
    <col min="20" max="20" width="11.28515625" bestFit="1" customWidth="1"/>
    <col min="21" max="21" width="14.7109375" bestFit="1" customWidth="1"/>
    <col min="22" max="22" width="11.28515625" bestFit="1" customWidth="1"/>
    <col min="23" max="23" width="14.7109375" bestFit="1" customWidth="1"/>
    <col min="24" max="24" width="11.28515625" bestFit="1" customWidth="1"/>
    <col min="25" max="25" width="14.7109375" bestFit="1" customWidth="1"/>
    <col min="26" max="26" width="11.28515625" bestFit="1" customWidth="1"/>
    <col min="27" max="27" width="14.7109375" bestFit="1" customWidth="1"/>
    <col min="28" max="28" width="11.28515625" bestFit="1" customWidth="1"/>
    <col min="29" max="29" width="14.7109375" bestFit="1" customWidth="1"/>
    <col min="30" max="30" width="12.42578125" bestFit="1" customWidth="1"/>
    <col min="31" max="31" width="16.140625" bestFit="1" customWidth="1"/>
  </cols>
  <sheetData>
    <row r="1" spans="1:31" s="216" customFormat="1" ht="22.15" customHeight="1" x14ac:dyDescent="0.25">
      <c r="A1" s="273" t="s">
        <v>96</v>
      </c>
      <c r="B1" s="274"/>
      <c r="C1" s="274"/>
      <c r="D1" s="274"/>
      <c r="E1" s="274"/>
      <c r="F1" s="274"/>
      <c r="G1" s="274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</row>
    <row r="2" spans="1:31" ht="22.15" customHeight="1" x14ac:dyDescent="0.25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</row>
    <row r="3" spans="1:31" ht="22.15" customHeight="1" x14ac:dyDescent="0.25">
      <c r="A3" s="211" t="s">
        <v>53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</row>
    <row r="4" spans="1:31" ht="20.45" customHeight="1" x14ac:dyDescent="0.25">
      <c r="A4" s="206" t="s">
        <v>54</v>
      </c>
      <c r="B4" s="217">
        <f>IRR_DPP!$L$3</f>
        <v>9128</v>
      </c>
      <c r="C4" s="207" t="s">
        <v>38</v>
      </c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</row>
    <row r="5" spans="1:31" ht="35.25" customHeight="1" x14ac:dyDescent="0.25">
      <c r="A5" s="206" t="s">
        <v>97</v>
      </c>
      <c r="B5" s="217">
        <f>IRR_DPP!$B$4</f>
        <v>1451.9894000000002</v>
      </c>
      <c r="C5" s="207" t="s">
        <v>46</v>
      </c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</row>
    <row r="6" spans="1:31" ht="20.45" customHeight="1" x14ac:dyDescent="0.25">
      <c r="A6" s="206" t="s">
        <v>56</v>
      </c>
      <c r="B6" s="218">
        <f>MAX(IRR_DPP!$A$4:$A$28)</f>
        <v>25</v>
      </c>
      <c r="C6" s="207" t="s">
        <v>40</v>
      </c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</row>
    <row r="7" spans="1:31" ht="20.45" customHeight="1" x14ac:dyDescent="0.25">
      <c r="A7" s="206" t="s">
        <v>57</v>
      </c>
      <c r="B7" s="219">
        <f>IRR_DPP!$F$4</f>
        <v>0.02</v>
      </c>
      <c r="C7" s="207" t="s">
        <v>36</v>
      </c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</row>
    <row r="8" spans="1:31" ht="20.45" customHeight="1" x14ac:dyDescent="0.25">
      <c r="A8" s="206" t="s">
        <v>58</v>
      </c>
      <c r="B8" s="219">
        <f>IRR_DPP!$L$7</f>
        <v>0.15470672654179407</v>
      </c>
      <c r="C8" s="207" t="s">
        <v>36</v>
      </c>
      <c r="D8" s="205"/>
      <c r="E8" s="205"/>
      <c r="F8" s="205"/>
      <c r="G8" s="205"/>
      <c r="H8" s="205"/>
      <c r="I8" s="205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  <c r="AD8" s="205"/>
      <c r="AE8" s="205"/>
    </row>
    <row r="9" spans="1:31" ht="20.45" customHeight="1" x14ac:dyDescent="0.25">
      <c r="A9" s="206" t="s">
        <v>41</v>
      </c>
      <c r="B9" s="218">
        <f>$B$4/$B$5</f>
        <v>6.2865472709373771</v>
      </c>
      <c r="C9" s="207" t="s">
        <v>40</v>
      </c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</row>
    <row r="10" spans="1:31" ht="20.45" customHeight="1" x14ac:dyDescent="0.25">
      <c r="A10" s="206" t="s">
        <v>59</v>
      </c>
      <c r="B10" s="218">
        <f>DPP_FromNPV(IRR_DPP!$E$3:$E$28,IRR_DPP!$A$3:$A$28,IRR_DPP!$C$3:$C$28)</f>
        <v>6.7869833666614605</v>
      </c>
      <c r="C10" s="207" t="s">
        <v>40</v>
      </c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</row>
    <row r="11" spans="1:31" ht="20.45" customHeight="1" x14ac:dyDescent="0.25">
      <c r="A11" s="205"/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</row>
    <row r="12" spans="1:31" ht="22.15" customHeight="1" x14ac:dyDescent="0.25">
      <c r="A12" s="205"/>
      <c r="B12" s="205"/>
      <c r="C12" s="205"/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5"/>
    </row>
    <row r="13" spans="1:31" ht="22.15" customHeight="1" x14ac:dyDescent="0.25">
      <c r="A13" s="211" t="s">
        <v>98</v>
      </c>
      <c r="B13" s="205"/>
      <c r="C13" s="205"/>
      <c r="D13" s="205"/>
      <c r="E13" s="205"/>
      <c r="F13" s="205"/>
      <c r="G13" s="205"/>
      <c r="H13" s="205"/>
      <c r="I13" s="206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</row>
    <row r="14" spans="1:31" ht="22.15" customHeight="1" x14ac:dyDescent="0.25">
      <c r="A14" s="220" t="s">
        <v>99</v>
      </c>
      <c r="B14" s="212" t="s">
        <v>49</v>
      </c>
      <c r="C14" s="212" t="s">
        <v>20</v>
      </c>
      <c r="D14" s="212" t="s">
        <v>61</v>
      </c>
      <c r="E14" s="212" t="s">
        <v>62</v>
      </c>
      <c r="F14" s="212" t="s">
        <v>100</v>
      </c>
      <c r="G14" s="212" t="s">
        <v>64</v>
      </c>
      <c r="H14" s="221" t="s">
        <v>65</v>
      </c>
      <c r="I14" s="212" t="s">
        <v>29</v>
      </c>
      <c r="J14" s="212" t="s">
        <v>101</v>
      </c>
      <c r="K14" s="212" t="s">
        <v>102</v>
      </c>
      <c r="L14" s="212" t="s">
        <v>103</v>
      </c>
      <c r="M14" s="212" t="s">
        <v>104</v>
      </c>
      <c r="N14" s="212" t="s">
        <v>105</v>
      </c>
      <c r="O14" s="212" t="s">
        <v>106</v>
      </c>
      <c r="P14" s="212" t="s">
        <v>107</v>
      </c>
      <c r="Q14" s="212" t="s">
        <v>108</v>
      </c>
      <c r="R14" s="212" t="s">
        <v>109</v>
      </c>
      <c r="S14" s="212" t="s">
        <v>110</v>
      </c>
      <c r="T14" s="212" t="s">
        <v>111</v>
      </c>
      <c r="U14" s="212" t="s">
        <v>112</v>
      </c>
      <c r="V14" s="212" t="s">
        <v>113</v>
      </c>
      <c r="W14" s="212" t="s">
        <v>114</v>
      </c>
      <c r="X14" s="212" t="s">
        <v>115</v>
      </c>
      <c r="Y14" s="212" t="s">
        <v>116</v>
      </c>
      <c r="Z14" s="212" t="s">
        <v>117</v>
      </c>
      <c r="AA14" s="212" t="s">
        <v>118</v>
      </c>
      <c r="AB14" s="212" t="s">
        <v>119</v>
      </c>
      <c r="AC14" s="212" t="s">
        <v>120</v>
      </c>
      <c r="AD14" s="212" t="s">
        <v>121</v>
      </c>
      <c r="AE14" s="212" t="s">
        <v>122</v>
      </c>
    </row>
    <row r="15" spans="1:31" ht="22.15" customHeight="1" x14ac:dyDescent="0.25">
      <c r="A15" s="210">
        <v>0</v>
      </c>
      <c r="B15" s="209">
        <f t="shared" ref="B15:B25" si="0">$B$4*(1+$A15)</f>
        <v>9128</v>
      </c>
      <c r="C15" s="251">
        <f t="shared" ref="C15:C25" si="1">IF($B$7=0,$B$5*$B$6-B15,$B$5*(1-(1+$B$7)^(-$B$6))/$B$7-B15)</f>
        <v>19219.851851008301</v>
      </c>
      <c r="D15" s="208">
        <f>DPP_FromNPV(K$15:K$40,$I$15:$I$40,J$15:J$40)</f>
        <v>6.7869833666614596</v>
      </c>
      <c r="E15" s="210">
        <f t="shared" ref="E15:E25" si="2">D15-$B$10</f>
        <v>0</v>
      </c>
      <c r="F15" s="210">
        <f t="shared" ref="F15:F25" si="3">IF($B$4=0,"",(B15-$B$4)/$B$4)</f>
        <v>0</v>
      </c>
      <c r="G15" s="210">
        <f t="shared" ref="G15:G25" si="4">IF($B$10=0,"",(D15-$B$10)/$B$10)</f>
        <v>-1.3086497663497636E-16</v>
      </c>
      <c r="H15" s="252" t="e">
        <f t="shared" ref="H15:H25" si="5">IFERROR(G15/F15,NA())</f>
        <v>#N/A</v>
      </c>
      <c r="I15" s="222">
        <v>0</v>
      </c>
      <c r="J15" s="209">
        <v>0</v>
      </c>
      <c r="K15" s="209">
        <f>-$B$15</f>
        <v>-9128</v>
      </c>
      <c r="L15" s="209">
        <v>0</v>
      </c>
      <c r="M15" s="209">
        <f>-$B$16</f>
        <v>-9584.4</v>
      </c>
      <c r="N15" s="209">
        <v>0</v>
      </c>
      <c r="O15" s="209">
        <f>-$B$17</f>
        <v>-10040.800000000001</v>
      </c>
      <c r="P15" s="209">
        <v>0</v>
      </c>
      <c r="Q15" s="209">
        <f>-$B$18</f>
        <v>-10497.199999999999</v>
      </c>
      <c r="R15" s="209">
        <v>0</v>
      </c>
      <c r="S15" s="209">
        <f>-$B$19</f>
        <v>-10953.6</v>
      </c>
      <c r="T15" s="209">
        <v>0</v>
      </c>
      <c r="U15" s="209">
        <f>-$B$20</f>
        <v>-11410</v>
      </c>
      <c r="V15" s="209">
        <v>0</v>
      </c>
      <c r="W15" s="209">
        <f>-$B$21</f>
        <v>-11866.4</v>
      </c>
      <c r="X15" s="209">
        <v>0</v>
      </c>
      <c r="Y15" s="209">
        <f>-$B$22</f>
        <v>-12322.800000000001</v>
      </c>
      <c r="Z15" s="209">
        <v>0</v>
      </c>
      <c r="AA15" s="209">
        <f>-$B$23</f>
        <v>-12779.199999999999</v>
      </c>
      <c r="AB15" s="209">
        <v>0</v>
      </c>
      <c r="AC15" s="209">
        <f>-$B$24</f>
        <v>-13235.6</v>
      </c>
      <c r="AD15" s="209">
        <v>0</v>
      </c>
      <c r="AE15" s="209">
        <f>-$B$25</f>
        <v>-13692</v>
      </c>
    </row>
    <row r="16" spans="1:31" ht="22.15" customHeight="1" x14ac:dyDescent="0.25">
      <c r="A16" s="210">
        <v>0.05</v>
      </c>
      <c r="B16" s="209">
        <f t="shared" si="0"/>
        <v>9584.4</v>
      </c>
      <c r="C16" s="251">
        <f t="shared" si="1"/>
        <v>18763.4518510083</v>
      </c>
      <c r="D16" s="208">
        <f>DPP_FromNPV(M$15:M$40,$I$15:$I$40,L$15:L$40)</f>
        <v>7.1510076382000873</v>
      </c>
      <c r="E16" s="210">
        <f t="shared" si="2"/>
        <v>0.36402427153862682</v>
      </c>
      <c r="F16" s="210">
        <f t="shared" si="3"/>
        <v>4.9999999999999961E-2</v>
      </c>
      <c r="G16" s="210">
        <f t="shared" si="4"/>
        <v>5.3635651050326881E-2</v>
      </c>
      <c r="H16" s="252">
        <f t="shared" si="5"/>
        <v>1.0727130210065385</v>
      </c>
      <c r="I16" s="222">
        <v>1</v>
      </c>
      <c r="J16" s="209">
        <f t="shared" ref="J16:J40" si="6">$B$5/(1+$B$7)^$I16</f>
        <v>1423.5190196078433</v>
      </c>
      <c r="K16" s="209">
        <f t="shared" ref="K16:K40" si="7">K15+J16</f>
        <v>-7704.4809803921562</v>
      </c>
      <c r="L16" s="209">
        <f t="shared" ref="L16:L40" si="8">$B$5/(1+$B$7)^$I16</f>
        <v>1423.5190196078433</v>
      </c>
      <c r="M16" s="209">
        <f t="shared" ref="M16:M40" si="9">M15+L16</f>
        <v>-8160.8809803921558</v>
      </c>
      <c r="N16" s="209">
        <f t="shared" ref="N16:N40" si="10">$B$5/(1+$B$7)^$I16</f>
        <v>1423.5190196078433</v>
      </c>
      <c r="O16" s="209">
        <f t="shared" ref="O16:O40" si="11">O15+N16</f>
        <v>-8617.2809803921573</v>
      </c>
      <c r="P16" s="209">
        <f t="shared" ref="P16:P40" si="12">$B$5/(1+$B$7)^$I16</f>
        <v>1423.5190196078433</v>
      </c>
      <c r="Q16" s="209">
        <f t="shared" ref="Q16:Q40" si="13">Q15+P16</f>
        <v>-9073.6809803921551</v>
      </c>
      <c r="R16" s="209">
        <f t="shared" ref="R16:R40" si="14">$B$5/(1+$B$7)^$I16</f>
        <v>1423.5190196078433</v>
      </c>
      <c r="S16" s="209">
        <f t="shared" ref="S16:S40" si="15">S15+R16</f>
        <v>-9530.0809803921566</v>
      </c>
      <c r="T16" s="209">
        <f t="shared" ref="T16:T40" si="16">$B$5/(1+$B$7)^$I16</f>
        <v>1423.5190196078433</v>
      </c>
      <c r="U16" s="209">
        <f t="shared" ref="U16:U40" si="17">U15+T16</f>
        <v>-9986.4809803921562</v>
      </c>
      <c r="V16" s="209">
        <f t="shared" ref="V16:V40" si="18">$B$5/(1+$B$7)^$I16</f>
        <v>1423.5190196078433</v>
      </c>
      <c r="W16" s="209">
        <f t="shared" ref="W16:W40" si="19">W15+V16</f>
        <v>-10442.880980392156</v>
      </c>
      <c r="X16" s="209">
        <f t="shared" ref="X16:X40" si="20">$B$5/(1+$B$7)^$I16</f>
        <v>1423.5190196078433</v>
      </c>
      <c r="Y16" s="209">
        <f t="shared" ref="Y16:Y40" si="21">Y15+X16</f>
        <v>-10899.280980392157</v>
      </c>
      <c r="Z16" s="209">
        <f t="shared" ref="Z16:Z40" si="22">$B$5/(1+$B$7)^$I16</f>
        <v>1423.5190196078433</v>
      </c>
      <c r="AA16" s="209">
        <f t="shared" ref="AA16:AA40" si="23">AA15+Z16</f>
        <v>-11355.680980392155</v>
      </c>
      <c r="AB16" s="209">
        <f t="shared" ref="AB16:AB40" si="24">$B$5/(1+$B$7)^$I16</f>
        <v>1423.5190196078433</v>
      </c>
      <c r="AC16" s="209">
        <f t="shared" ref="AC16:AC40" si="25">AC15+AB16</f>
        <v>-11812.080980392157</v>
      </c>
      <c r="AD16" s="209">
        <f t="shared" ref="AD16:AD40" si="26">$B$5/(1+$B$7)^$I16</f>
        <v>1423.5190196078433</v>
      </c>
      <c r="AE16" s="209">
        <f t="shared" ref="AE16:AE40" si="27">AE15+AD16</f>
        <v>-12268.480980392156</v>
      </c>
    </row>
    <row r="17" spans="1:31" ht="22.15" customHeight="1" x14ac:dyDescent="0.25">
      <c r="A17" s="210">
        <v>0.1</v>
      </c>
      <c r="B17" s="209">
        <f t="shared" si="0"/>
        <v>10040.800000000001</v>
      </c>
      <c r="C17" s="251">
        <f t="shared" si="1"/>
        <v>18307.051851008298</v>
      </c>
      <c r="D17" s="208">
        <f>DPP_FromNPV(O$15:O$40,$I$15:$I$40,N$15:N$40)</f>
        <v>7.5192922424054869</v>
      </c>
      <c r="E17" s="210">
        <f t="shared" si="2"/>
        <v>0.73230887574402637</v>
      </c>
      <c r="F17" s="210">
        <f t="shared" si="3"/>
        <v>0.10000000000000012</v>
      </c>
      <c r="G17" s="210">
        <f t="shared" si="4"/>
        <v>0.10789902320097353</v>
      </c>
      <c r="H17" s="252">
        <f t="shared" si="5"/>
        <v>1.078990232009734</v>
      </c>
      <c r="I17" s="222">
        <v>2</v>
      </c>
      <c r="J17" s="209">
        <f t="shared" si="6"/>
        <v>1395.6068819684738</v>
      </c>
      <c r="K17" s="209">
        <f t="shared" si="7"/>
        <v>-6308.8740984236829</v>
      </c>
      <c r="L17" s="209">
        <f t="shared" si="8"/>
        <v>1395.6068819684738</v>
      </c>
      <c r="M17" s="209">
        <f t="shared" si="9"/>
        <v>-6765.2740984236825</v>
      </c>
      <c r="N17" s="209">
        <f t="shared" si="10"/>
        <v>1395.6068819684738</v>
      </c>
      <c r="O17" s="209">
        <f t="shared" si="11"/>
        <v>-7221.674098423684</v>
      </c>
      <c r="P17" s="209">
        <f t="shared" si="12"/>
        <v>1395.6068819684738</v>
      </c>
      <c r="Q17" s="209">
        <f t="shared" si="13"/>
        <v>-7678.0740984236818</v>
      </c>
      <c r="R17" s="209">
        <f t="shared" si="14"/>
        <v>1395.6068819684738</v>
      </c>
      <c r="S17" s="209">
        <f t="shared" si="15"/>
        <v>-8134.4740984236832</v>
      </c>
      <c r="T17" s="209">
        <f t="shared" si="16"/>
        <v>1395.6068819684738</v>
      </c>
      <c r="U17" s="209">
        <f t="shared" si="17"/>
        <v>-8590.8740984236829</v>
      </c>
      <c r="V17" s="209">
        <f t="shared" si="18"/>
        <v>1395.6068819684738</v>
      </c>
      <c r="W17" s="209">
        <f t="shared" si="19"/>
        <v>-9047.2740984236825</v>
      </c>
      <c r="X17" s="209">
        <f t="shared" si="20"/>
        <v>1395.6068819684738</v>
      </c>
      <c r="Y17" s="209">
        <f t="shared" si="21"/>
        <v>-9503.674098423684</v>
      </c>
      <c r="Z17" s="209">
        <f t="shared" si="22"/>
        <v>1395.6068819684738</v>
      </c>
      <c r="AA17" s="209">
        <f t="shared" si="23"/>
        <v>-9960.0740984236818</v>
      </c>
      <c r="AB17" s="209">
        <f t="shared" si="24"/>
        <v>1395.6068819684738</v>
      </c>
      <c r="AC17" s="209">
        <f t="shared" si="25"/>
        <v>-10416.474098423683</v>
      </c>
      <c r="AD17" s="209">
        <f t="shared" si="26"/>
        <v>1395.6068819684738</v>
      </c>
      <c r="AE17" s="209">
        <f t="shared" si="27"/>
        <v>-10872.874098423683</v>
      </c>
    </row>
    <row r="18" spans="1:31" ht="22.15" customHeight="1" x14ac:dyDescent="0.25">
      <c r="A18" s="210">
        <v>0.15</v>
      </c>
      <c r="B18" s="209">
        <f t="shared" si="0"/>
        <v>10497.199999999999</v>
      </c>
      <c r="C18" s="251">
        <f t="shared" si="1"/>
        <v>17850.651851008304</v>
      </c>
      <c r="D18" s="208">
        <f>DPP_FromNPV(Q$15:Q$40,$I$15:$I$40,P$15:P$40)</f>
        <v>7.8875768466108838</v>
      </c>
      <c r="E18" s="210">
        <f t="shared" si="2"/>
        <v>1.1005934799494232</v>
      </c>
      <c r="F18" s="210">
        <f t="shared" si="3"/>
        <v>0.14999999999999988</v>
      </c>
      <c r="G18" s="210">
        <f t="shared" si="4"/>
        <v>0.16216239535161978</v>
      </c>
      <c r="H18" s="252">
        <f t="shared" si="5"/>
        <v>1.0810826356774661</v>
      </c>
      <c r="I18" s="222">
        <v>3</v>
      </c>
      <c r="J18" s="209">
        <f t="shared" si="6"/>
        <v>1368.2420411455626</v>
      </c>
      <c r="K18" s="209">
        <f t="shared" si="7"/>
        <v>-4940.6320572781206</v>
      </c>
      <c r="L18" s="209">
        <f t="shared" si="8"/>
        <v>1368.2420411455626</v>
      </c>
      <c r="M18" s="209">
        <f t="shared" si="9"/>
        <v>-5397.0320572781202</v>
      </c>
      <c r="N18" s="209">
        <f t="shared" si="10"/>
        <v>1368.2420411455626</v>
      </c>
      <c r="O18" s="209">
        <f t="shared" si="11"/>
        <v>-5853.4320572781216</v>
      </c>
      <c r="P18" s="209">
        <f t="shared" si="12"/>
        <v>1368.2420411455626</v>
      </c>
      <c r="Q18" s="209">
        <f t="shared" si="13"/>
        <v>-6309.8320572781195</v>
      </c>
      <c r="R18" s="209">
        <f t="shared" si="14"/>
        <v>1368.2420411455626</v>
      </c>
      <c r="S18" s="209">
        <f t="shared" si="15"/>
        <v>-6766.2320572781209</v>
      </c>
      <c r="T18" s="209">
        <f t="shared" si="16"/>
        <v>1368.2420411455626</v>
      </c>
      <c r="U18" s="209">
        <f t="shared" si="17"/>
        <v>-7222.6320572781206</v>
      </c>
      <c r="V18" s="209">
        <f t="shared" si="18"/>
        <v>1368.2420411455626</v>
      </c>
      <c r="W18" s="209">
        <f t="shared" si="19"/>
        <v>-7679.0320572781202</v>
      </c>
      <c r="X18" s="209">
        <f t="shared" si="20"/>
        <v>1368.2420411455626</v>
      </c>
      <c r="Y18" s="209">
        <f t="shared" si="21"/>
        <v>-8135.4320572781216</v>
      </c>
      <c r="Z18" s="209">
        <f t="shared" si="22"/>
        <v>1368.2420411455626</v>
      </c>
      <c r="AA18" s="209">
        <f t="shared" si="23"/>
        <v>-8591.8320572781195</v>
      </c>
      <c r="AB18" s="209">
        <f t="shared" si="24"/>
        <v>1368.2420411455626</v>
      </c>
      <c r="AC18" s="209">
        <f t="shared" si="25"/>
        <v>-9048.2320572781209</v>
      </c>
      <c r="AD18" s="209">
        <f t="shared" si="26"/>
        <v>1368.2420411455626</v>
      </c>
      <c r="AE18" s="209">
        <f t="shared" si="27"/>
        <v>-9504.6320572781206</v>
      </c>
    </row>
    <row r="19" spans="1:31" ht="22.15" customHeight="1" x14ac:dyDescent="0.25">
      <c r="A19" s="210">
        <v>0.2</v>
      </c>
      <c r="B19" s="209">
        <f t="shared" si="0"/>
        <v>10953.6</v>
      </c>
      <c r="C19" s="251">
        <f t="shared" si="1"/>
        <v>17394.251851008303</v>
      </c>
      <c r="D19" s="208">
        <f>DPP_FromNPV(S$15:S$40,$I$15:$I$40,R$15:R$40)</f>
        <v>8.2609786798326095</v>
      </c>
      <c r="E19" s="210">
        <f t="shared" si="2"/>
        <v>1.473995313171149</v>
      </c>
      <c r="F19" s="210">
        <f t="shared" si="3"/>
        <v>0.20000000000000004</v>
      </c>
      <c r="G19" s="210">
        <f t="shared" si="4"/>
        <v>0.21717974445194671</v>
      </c>
      <c r="H19" s="252">
        <f t="shared" si="5"/>
        <v>1.0858987222597334</v>
      </c>
      <c r="I19" s="222">
        <v>4</v>
      </c>
      <c r="J19" s="209">
        <f t="shared" si="6"/>
        <v>1341.4137658289828</v>
      </c>
      <c r="K19" s="209">
        <f t="shared" si="7"/>
        <v>-3599.2182914491377</v>
      </c>
      <c r="L19" s="209">
        <f t="shared" si="8"/>
        <v>1341.4137658289828</v>
      </c>
      <c r="M19" s="209">
        <f t="shared" si="9"/>
        <v>-4055.6182914491374</v>
      </c>
      <c r="N19" s="209">
        <f t="shared" si="10"/>
        <v>1341.4137658289828</v>
      </c>
      <c r="O19" s="209">
        <f t="shared" si="11"/>
        <v>-4512.0182914491388</v>
      </c>
      <c r="P19" s="209">
        <f t="shared" si="12"/>
        <v>1341.4137658289828</v>
      </c>
      <c r="Q19" s="209">
        <f t="shared" si="13"/>
        <v>-4968.4182914491366</v>
      </c>
      <c r="R19" s="209">
        <f t="shared" si="14"/>
        <v>1341.4137658289828</v>
      </c>
      <c r="S19" s="209">
        <f t="shared" si="15"/>
        <v>-5424.8182914491381</v>
      </c>
      <c r="T19" s="209">
        <f t="shared" si="16"/>
        <v>1341.4137658289828</v>
      </c>
      <c r="U19" s="209">
        <f t="shared" si="17"/>
        <v>-5881.2182914491377</v>
      </c>
      <c r="V19" s="209">
        <f t="shared" si="18"/>
        <v>1341.4137658289828</v>
      </c>
      <c r="W19" s="209">
        <f t="shared" si="19"/>
        <v>-6337.6182914491374</v>
      </c>
      <c r="X19" s="209">
        <f t="shared" si="20"/>
        <v>1341.4137658289828</v>
      </c>
      <c r="Y19" s="209">
        <f t="shared" si="21"/>
        <v>-6794.0182914491388</v>
      </c>
      <c r="Z19" s="209">
        <f t="shared" si="22"/>
        <v>1341.4137658289828</v>
      </c>
      <c r="AA19" s="209">
        <f t="shared" si="23"/>
        <v>-7250.4182914491366</v>
      </c>
      <c r="AB19" s="209">
        <f t="shared" si="24"/>
        <v>1341.4137658289828</v>
      </c>
      <c r="AC19" s="209">
        <f t="shared" si="25"/>
        <v>-7706.8182914491381</v>
      </c>
      <c r="AD19" s="209">
        <f t="shared" si="26"/>
        <v>1341.4137658289828</v>
      </c>
      <c r="AE19" s="209">
        <f t="shared" si="27"/>
        <v>-8163.2182914491377</v>
      </c>
    </row>
    <row r="20" spans="1:31" ht="22.15" customHeight="1" x14ac:dyDescent="0.25">
      <c r="A20" s="210">
        <v>0.25</v>
      </c>
      <c r="B20" s="209">
        <f t="shared" si="0"/>
        <v>11410</v>
      </c>
      <c r="C20" s="251">
        <f t="shared" si="1"/>
        <v>16937.851851008301</v>
      </c>
      <c r="D20" s="208">
        <f>DPP_FromNPV(U$15:U$40,$I$15:$I$40,T$15:T$40)</f>
        <v>8.6366289761221147</v>
      </c>
      <c r="E20" s="210">
        <f t="shared" si="2"/>
        <v>1.8496456094606541</v>
      </c>
      <c r="F20" s="210">
        <f t="shared" si="3"/>
        <v>0.25</v>
      </c>
      <c r="G20" s="210">
        <f t="shared" si="4"/>
        <v>0.27252838404560598</v>
      </c>
      <c r="H20" s="252">
        <f t="shared" si="5"/>
        <v>1.0901135361824239</v>
      </c>
      <c r="I20" s="222">
        <v>5</v>
      </c>
      <c r="J20" s="209">
        <f t="shared" si="6"/>
        <v>1315.1115351264539</v>
      </c>
      <c r="K20" s="209">
        <f t="shared" si="7"/>
        <v>-2284.1067563226839</v>
      </c>
      <c r="L20" s="209">
        <f t="shared" si="8"/>
        <v>1315.1115351264539</v>
      </c>
      <c r="M20" s="209">
        <f t="shared" si="9"/>
        <v>-2740.5067563226835</v>
      </c>
      <c r="N20" s="209">
        <f t="shared" si="10"/>
        <v>1315.1115351264539</v>
      </c>
      <c r="O20" s="209">
        <f t="shared" si="11"/>
        <v>-3196.9067563226849</v>
      </c>
      <c r="P20" s="209">
        <f t="shared" si="12"/>
        <v>1315.1115351264539</v>
      </c>
      <c r="Q20" s="209">
        <f t="shared" si="13"/>
        <v>-3653.3067563226828</v>
      </c>
      <c r="R20" s="209">
        <f t="shared" si="14"/>
        <v>1315.1115351264539</v>
      </c>
      <c r="S20" s="209">
        <f t="shared" si="15"/>
        <v>-4109.7067563226847</v>
      </c>
      <c r="T20" s="209">
        <f t="shared" si="16"/>
        <v>1315.1115351264539</v>
      </c>
      <c r="U20" s="209">
        <f t="shared" si="17"/>
        <v>-4566.1067563226843</v>
      </c>
      <c r="V20" s="209">
        <f t="shared" si="18"/>
        <v>1315.1115351264539</v>
      </c>
      <c r="W20" s="209">
        <f t="shared" si="19"/>
        <v>-5022.5067563226839</v>
      </c>
      <c r="X20" s="209">
        <f t="shared" si="20"/>
        <v>1315.1115351264539</v>
      </c>
      <c r="Y20" s="209">
        <f t="shared" si="21"/>
        <v>-5478.9067563226854</v>
      </c>
      <c r="Z20" s="209">
        <f t="shared" si="22"/>
        <v>1315.1115351264539</v>
      </c>
      <c r="AA20" s="209">
        <f t="shared" si="23"/>
        <v>-5935.3067563226832</v>
      </c>
      <c r="AB20" s="209">
        <f t="shared" si="24"/>
        <v>1315.1115351264539</v>
      </c>
      <c r="AC20" s="209">
        <f t="shared" si="25"/>
        <v>-6391.7067563226847</v>
      </c>
      <c r="AD20" s="209">
        <f t="shared" si="26"/>
        <v>1315.1115351264539</v>
      </c>
      <c r="AE20" s="209">
        <f t="shared" si="27"/>
        <v>-6848.1067563226843</v>
      </c>
    </row>
    <row r="21" spans="1:31" ht="22.15" customHeight="1" x14ac:dyDescent="0.25">
      <c r="A21" s="210">
        <v>0.3</v>
      </c>
      <c r="B21" s="209">
        <f t="shared" si="0"/>
        <v>11866.4</v>
      </c>
      <c r="C21" s="251">
        <f t="shared" si="1"/>
        <v>16481.4518510083</v>
      </c>
      <c r="D21" s="208">
        <f>DPP_FromNPV(W$15:W$40,$I$15:$I$40,V$15:V$40)</f>
        <v>9.0125248578598534</v>
      </c>
      <c r="E21" s="210">
        <f t="shared" si="2"/>
        <v>2.2255414911983928</v>
      </c>
      <c r="F21" s="210">
        <f t="shared" si="3"/>
        <v>0.29999999999999993</v>
      </c>
      <c r="G21" s="210">
        <f t="shared" si="4"/>
        <v>0.3279132084116399</v>
      </c>
      <c r="H21" s="252">
        <f t="shared" si="5"/>
        <v>1.0930440280387999</v>
      </c>
      <c r="I21" s="222">
        <v>6</v>
      </c>
      <c r="J21" s="209">
        <f t="shared" si="6"/>
        <v>1289.3250344376997</v>
      </c>
      <c r="K21" s="209">
        <f t="shared" si="7"/>
        <v>-994.78172188498411</v>
      </c>
      <c r="L21" s="209">
        <f t="shared" si="8"/>
        <v>1289.3250344376997</v>
      </c>
      <c r="M21" s="209">
        <f t="shared" si="9"/>
        <v>-1451.1817218849837</v>
      </c>
      <c r="N21" s="209">
        <f t="shared" si="10"/>
        <v>1289.3250344376997</v>
      </c>
      <c r="O21" s="209">
        <f t="shared" si="11"/>
        <v>-1907.5817218849852</v>
      </c>
      <c r="P21" s="209">
        <f t="shared" si="12"/>
        <v>1289.3250344376997</v>
      </c>
      <c r="Q21" s="209">
        <f t="shared" si="13"/>
        <v>-2363.981721884983</v>
      </c>
      <c r="R21" s="209">
        <f t="shared" si="14"/>
        <v>1289.3250344376997</v>
      </c>
      <c r="S21" s="209">
        <f t="shared" si="15"/>
        <v>-2820.3817218849849</v>
      </c>
      <c r="T21" s="209">
        <f t="shared" si="16"/>
        <v>1289.3250344376997</v>
      </c>
      <c r="U21" s="209">
        <f t="shared" si="17"/>
        <v>-3276.7817218849846</v>
      </c>
      <c r="V21" s="209">
        <f t="shared" si="18"/>
        <v>1289.3250344376997</v>
      </c>
      <c r="W21" s="209">
        <f t="shared" si="19"/>
        <v>-3733.1817218849842</v>
      </c>
      <c r="X21" s="209">
        <f t="shared" si="20"/>
        <v>1289.3250344376997</v>
      </c>
      <c r="Y21" s="209">
        <f t="shared" si="21"/>
        <v>-4189.5817218849861</v>
      </c>
      <c r="Z21" s="209">
        <f t="shared" si="22"/>
        <v>1289.3250344376997</v>
      </c>
      <c r="AA21" s="209">
        <f t="shared" si="23"/>
        <v>-4645.9817218849839</v>
      </c>
      <c r="AB21" s="209">
        <f t="shared" si="24"/>
        <v>1289.3250344376997</v>
      </c>
      <c r="AC21" s="209">
        <f t="shared" si="25"/>
        <v>-5102.3817218849854</v>
      </c>
      <c r="AD21" s="209">
        <f t="shared" si="26"/>
        <v>1289.3250344376997</v>
      </c>
      <c r="AE21" s="209">
        <f t="shared" si="27"/>
        <v>-5558.781721884985</v>
      </c>
    </row>
    <row r="22" spans="1:31" ht="22.15" customHeight="1" x14ac:dyDescent="0.25">
      <c r="A22" s="210">
        <v>0.35</v>
      </c>
      <c r="B22" s="209">
        <f t="shared" si="0"/>
        <v>12322.800000000001</v>
      </c>
      <c r="C22" s="251">
        <f t="shared" si="1"/>
        <v>16025.0518510083</v>
      </c>
      <c r="D22" s="208">
        <f>DPP_FromNPV(Y$15:Y$40,$I$15:$I$40,X$15:X$40)</f>
        <v>9.3956881600751512</v>
      </c>
      <c r="E22" s="210">
        <f t="shared" si="2"/>
        <v>2.6087047934136907</v>
      </c>
      <c r="F22" s="210">
        <f t="shared" si="3"/>
        <v>0.35000000000000014</v>
      </c>
      <c r="G22" s="210">
        <f t="shared" si="4"/>
        <v>0.38436882079717266</v>
      </c>
      <c r="H22" s="252">
        <f t="shared" si="5"/>
        <v>1.0981966308490643</v>
      </c>
      <c r="I22" s="222">
        <v>7</v>
      </c>
      <c r="J22" s="209">
        <f t="shared" si="6"/>
        <v>1264.0441514095098</v>
      </c>
      <c r="K22" s="209">
        <f t="shared" si="7"/>
        <v>269.26242952452571</v>
      </c>
      <c r="L22" s="209">
        <f t="shared" si="8"/>
        <v>1264.0441514095098</v>
      </c>
      <c r="M22" s="209">
        <f t="shared" si="9"/>
        <v>-187.13757047547392</v>
      </c>
      <c r="N22" s="209">
        <f t="shared" si="10"/>
        <v>1264.0441514095098</v>
      </c>
      <c r="O22" s="209">
        <f t="shared" si="11"/>
        <v>-643.53757047547538</v>
      </c>
      <c r="P22" s="209">
        <f t="shared" si="12"/>
        <v>1264.0441514095098</v>
      </c>
      <c r="Q22" s="209">
        <f t="shared" si="13"/>
        <v>-1099.9375704754732</v>
      </c>
      <c r="R22" s="209">
        <f t="shared" si="14"/>
        <v>1264.0441514095098</v>
      </c>
      <c r="S22" s="209">
        <f t="shared" si="15"/>
        <v>-1556.3375704754751</v>
      </c>
      <c r="T22" s="209">
        <f t="shared" si="16"/>
        <v>1264.0441514095098</v>
      </c>
      <c r="U22" s="209">
        <f t="shared" si="17"/>
        <v>-2012.7375704754747</v>
      </c>
      <c r="V22" s="209">
        <f t="shared" si="18"/>
        <v>1264.0441514095098</v>
      </c>
      <c r="W22" s="209">
        <f t="shared" si="19"/>
        <v>-2469.1375704754746</v>
      </c>
      <c r="X22" s="209">
        <f t="shared" si="20"/>
        <v>1264.0441514095098</v>
      </c>
      <c r="Y22" s="209">
        <f t="shared" si="21"/>
        <v>-2925.5375704754761</v>
      </c>
      <c r="Z22" s="209">
        <f t="shared" si="22"/>
        <v>1264.0441514095098</v>
      </c>
      <c r="AA22" s="209">
        <f t="shared" si="23"/>
        <v>-3381.9375704754739</v>
      </c>
      <c r="AB22" s="209">
        <f t="shared" si="24"/>
        <v>1264.0441514095098</v>
      </c>
      <c r="AC22" s="209">
        <f t="shared" si="25"/>
        <v>-3838.3375704754753</v>
      </c>
      <c r="AD22" s="209">
        <f t="shared" si="26"/>
        <v>1264.0441514095098</v>
      </c>
      <c r="AE22" s="209">
        <f t="shared" si="27"/>
        <v>-4294.737570475475</v>
      </c>
    </row>
    <row r="23" spans="1:31" ht="22.15" customHeight="1" x14ac:dyDescent="0.25">
      <c r="A23" s="210">
        <v>0.4</v>
      </c>
      <c r="B23" s="209">
        <f t="shared" si="0"/>
        <v>12779.199999999999</v>
      </c>
      <c r="C23" s="251">
        <f t="shared" si="1"/>
        <v>15568.651851008302</v>
      </c>
      <c r="D23" s="208">
        <f>DPP_FromNPV(AA$15:AA$40,$I$15:$I$40,Z$15:Z$40)</f>
        <v>9.7788514622904472</v>
      </c>
      <c r="E23" s="210">
        <f t="shared" si="2"/>
        <v>2.9918680956289867</v>
      </c>
      <c r="F23" s="210">
        <f t="shared" si="3"/>
        <v>0.39999999999999986</v>
      </c>
      <c r="G23" s="210">
        <f t="shared" si="4"/>
        <v>0.4408244331827052</v>
      </c>
      <c r="H23" s="252">
        <f t="shared" si="5"/>
        <v>1.1020610829567634</v>
      </c>
      <c r="I23" s="222">
        <v>8</v>
      </c>
      <c r="J23" s="209">
        <f t="shared" si="6"/>
        <v>1239.2589719701075</v>
      </c>
      <c r="K23" s="209">
        <f t="shared" si="7"/>
        <v>1508.5214014946332</v>
      </c>
      <c r="L23" s="209">
        <f t="shared" si="8"/>
        <v>1239.2589719701075</v>
      </c>
      <c r="M23" s="209">
        <f t="shared" si="9"/>
        <v>1052.1214014946336</v>
      </c>
      <c r="N23" s="209">
        <f t="shared" si="10"/>
        <v>1239.2589719701075</v>
      </c>
      <c r="O23" s="209">
        <f t="shared" si="11"/>
        <v>595.72140149463212</v>
      </c>
      <c r="P23" s="209">
        <f t="shared" si="12"/>
        <v>1239.2589719701075</v>
      </c>
      <c r="Q23" s="209">
        <f t="shared" si="13"/>
        <v>139.3214014946343</v>
      </c>
      <c r="R23" s="209">
        <f t="shared" si="14"/>
        <v>1239.2589719701075</v>
      </c>
      <c r="S23" s="209">
        <f t="shared" si="15"/>
        <v>-317.07859850536761</v>
      </c>
      <c r="T23" s="209">
        <f t="shared" si="16"/>
        <v>1239.2589719701075</v>
      </c>
      <c r="U23" s="209">
        <f t="shared" si="17"/>
        <v>-773.47859850536724</v>
      </c>
      <c r="V23" s="209">
        <f t="shared" si="18"/>
        <v>1239.2589719701075</v>
      </c>
      <c r="W23" s="209">
        <f t="shared" si="19"/>
        <v>-1229.8785985053671</v>
      </c>
      <c r="X23" s="209">
        <f t="shared" si="20"/>
        <v>1239.2589719701075</v>
      </c>
      <c r="Y23" s="209">
        <f t="shared" si="21"/>
        <v>-1686.2785985053686</v>
      </c>
      <c r="Z23" s="209">
        <f t="shared" si="22"/>
        <v>1239.2589719701075</v>
      </c>
      <c r="AA23" s="209">
        <f t="shared" si="23"/>
        <v>-2142.6785985053666</v>
      </c>
      <c r="AB23" s="209">
        <f t="shared" si="24"/>
        <v>1239.2589719701075</v>
      </c>
      <c r="AC23" s="209">
        <f t="shared" si="25"/>
        <v>-2599.0785985053681</v>
      </c>
      <c r="AD23" s="209">
        <f t="shared" si="26"/>
        <v>1239.2589719701075</v>
      </c>
      <c r="AE23" s="209">
        <f t="shared" si="27"/>
        <v>-3055.4785985053677</v>
      </c>
    </row>
    <row r="24" spans="1:31" ht="22.15" customHeight="1" x14ac:dyDescent="0.25">
      <c r="A24" s="214">
        <v>0.45</v>
      </c>
      <c r="B24" s="209">
        <f t="shared" si="0"/>
        <v>13235.6</v>
      </c>
      <c r="C24" s="251">
        <f t="shared" si="1"/>
        <v>15112.251851008301</v>
      </c>
      <c r="D24" s="208">
        <f>DPP_FromNPV(AC$15:AC$40,$I$15:$I$40,AB$15:AB$40)</f>
        <v>10.165255059795859</v>
      </c>
      <c r="E24" s="210">
        <f t="shared" si="2"/>
        <v>3.3782716931343986</v>
      </c>
      <c r="F24" s="210">
        <f t="shared" si="3"/>
        <v>0.45000000000000007</v>
      </c>
      <c r="G24" s="210">
        <f t="shared" si="4"/>
        <v>0.49775747347914623</v>
      </c>
      <c r="H24" s="252">
        <f t="shared" si="5"/>
        <v>1.1061277188425469</v>
      </c>
      <c r="I24" s="222">
        <v>9</v>
      </c>
      <c r="J24" s="209">
        <f t="shared" si="6"/>
        <v>1214.959776441282</v>
      </c>
      <c r="K24" s="209">
        <f t="shared" si="7"/>
        <v>2723.4811779359152</v>
      </c>
      <c r="L24" s="209">
        <f t="shared" si="8"/>
        <v>1214.959776441282</v>
      </c>
      <c r="M24" s="209">
        <f t="shared" si="9"/>
        <v>2267.0811779359155</v>
      </c>
      <c r="N24" s="209">
        <f t="shared" si="10"/>
        <v>1214.959776441282</v>
      </c>
      <c r="O24" s="209">
        <f t="shared" si="11"/>
        <v>1810.6811779359141</v>
      </c>
      <c r="P24" s="209">
        <f t="shared" si="12"/>
        <v>1214.959776441282</v>
      </c>
      <c r="Q24" s="209">
        <f t="shared" si="13"/>
        <v>1354.2811779359163</v>
      </c>
      <c r="R24" s="209">
        <f t="shared" si="14"/>
        <v>1214.959776441282</v>
      </c>
      <c r="S24" s="209">
        <f t="shared" si="15"/>
        <v>897.88117793591437</v>
      </c>
      <c r="T24" s="209">
        <f t="shared" si="16"/>
        <v>1214.959776441282</v>
      </c>
      <c r="U24" s="209">
        <f t="shared" si="17"/>
        <v>441.48117793591473</v>
      </c>
      <c r="V24" s="209">
        <f t="shared" si="18"/>
        <v>1214.959776441282</v>
      </c>
      <c r="W24" s="209">
        <f t="shared" si="19"/>
        <v>-14.918822064085134</v>
      </c>
      <c r="X24" s="209">
        <f t="shared" si="20"/>
        <v>1214.959776441282</v>
      </c>
      <c r="Y24" s="209">
        <f t="shared" si="21"/>
        <v>-471.31882206408659</v>
      </c>
      <c r="Z24" s="209">
        <f t="shared" si="22"/>
        <v>1214.959776441282</v>
      </c>
      <c r="AA24" s="209">
        <f t="shared" si="23"/>
        <v>-927.71882206408463</v>
      </c>
      <c r="AB24" s="209">
        <f t="shared" si="24"/>
        <v>1214.959776441282</v>
      </c>
      <c r="AC24" s="209">
        <f t="shared" si="25"/>
        <v>-1384.1188220640861</v>
      </c>
      <c r="AD24" s="209">
        <f t="shared" si="26"/>
        <v>1214.959776441282</v>
      </c>
      <c r="AE24" s="209">
        <f t="shared" si="27"/>
        <v>-1840.5188220640857</v>
      </c>
    </row>
    <row r="25" spans="1:31" ht="22.15" customHeight="1" x14ac:dyDescent="0.25">
      <c r="A25" s="210">
        <v>0.5</v>
      </c>
      <c r="B25" s="209">
        <f t="shared" si="0"/>
        <v>13692</v>
      </c>
      <c r="C25" s="251">
        <f t="shared" si="1"/>
        <v>14655.851851008301</v>
      </c>
      <c r="D25" s="208">
        <f>DPP_FromNPV(AE$15:AE$40,$I$15:$I$40,AD$15:AD$40)</f>
        <v>10.556081628055461</v>
      </c>
      <c r="E25" s="210">
        <f t="shared" si="2"/>
        <v>3.7690982613940003</v>
      </c>
      <c r="F25" s="210">
        <f t="shared" si="3"/>
        <v>0.5</v>
      </c>
      <c r="G25" s="210">
        <f t="shared" si="4"/>
        <v>0.55534219811238938</v>
      </c>
      <c r="H25" s="252">
        <f t="shared" si="5"/>
        <v>1.1106843962247788</v>
      </c>
      <c r="I25" s="222">
        <v>10</v>
      </c>
      <c r="J25" s="209">
        <f t="shared" si="6"/>
        <v>1191.1370357267469</v>
      </c>
      <c r="K25" s="209">
        <f t="shared" si="7"/>
        <v>3914.6182136626621</v>
      </c>
      <c r="L25" s="209">
        <f t="shared" si="8"/>
        <v>1191.1370357267469</v>
      </c>
      <c r="M25" s="209">
        <f t="shared" si="9"/>
        <v>3458.2182136626625</v>
      </c>
      <c r="N25" s="209">
        <f t="shared" si="10"/>
        <v>1191.1370357267469</v>
      </c>
      <c r="O25" s="209">
        <f t="shared" si="11"/>
        <v>3001.818213662661</v>
      </c>
      <c r="P25" s="209">
        <f t="shared" si="12"/>
        <v>1191.1370357267469</v>
      </c>
      <c r="Q25" s="209">
        <f t="shared" si="13"/>
        <v>2545.4182136626632</v>
      </c>
      <c r="R25" s="209">
        <f t="shared" si="14"/>
        <v>1191.1370357267469</v>
      </c>
      <c r="S25" s="209">
        <f t="shared" si="15"/>
        <v>2089.0182136626613</v>
      </c>
      <c r="T25" s="209">
        <f t="shared" si="16"/>
        <v>1191.1370357267469</v>
      </c>
      <c r="U25" s="209">
        <f t="shared" si="17"/>
        <v>1632.6182136626617</v>
      </c>
      <c r="V25" s="209">
        <f t="shared" si="18"/>
        <v>1191.1370357267469</v>
      </c>
      <c r="W25" s="209">
        <f t="shared" si="19"/>
        <v>1176.2182136626618</v>
      </c>
      <c r="X25" s="209">
        <f t="shared" si="20"/>
        <v>1191.1370357267469</v>
      </c>
      <c r="Y25" s="209">
        <f t="shared" si="21"/>
        <v>719.81821366266036</v>
      </c>
      <c r="Z25" s="209">
        <f t="shared" si="22"/>
        <v>1191.1370357267469</v>
      </c>
      <c r="AA25" s="209">
        <f t="shared" si="23"/>
        <v>263.41821366266231</v>
      </c>
      <c r="AB25" s="209">
        <f t="shared" si="24"/>
        <v>1191.1370357267469</v>
      </c>
      <c r="AC25" s="209">
        <f t="shared" si="25"/>
        <v>-192.98178633733914</v>
      </c>
      <c r="AD25" s="209">
        <f t="shared" si="26"/>
        <v>1191.1370357267469</v>
      </c>
      <c r="AE25" s="209">
        <f t="shared" si="27"/>
        <v>-649.38178633733878</v>
      </c>
    </row>
    <row r="26" spans="1:31" ht="22.15" customHeight="1" x14ac:dyDescent="0.25">
      <c r="A26" s="205"/>
      <c r="B26" s="205"/>
      <c r="C26" s="205"/>
      <c r="D26" s="205"/>
      <c r="E26" s="205"/>
      <c r="F26" s="205"/>
      <c r="G26" s="205"/>
      <c r="H26" s="205"/>
      <c r="I26" s="222">
        <v>11</v>
      </c>
      <c r="J26" s="209">
        <f t="shared" si="6"/>
        <v>1167.7814075752424</v>
      </c>
      <c r="K26" s="209">
        <f t="shared" si="7"/>
        <v>5082.3996212379043</v>
      </c>
      <c r="L26" s="209">
        <f t="shared" si="8"/>
        <v>1167.7814075752424</v>
      </c>
      <c r="M26" s="209">
        <f t="shared" si="9"/>
        <v>4625.9996212379046</v>
      </c>
      <c r="N26" s="209">
        <f t="shared" si="10"/>
        <v>1167.7814075752424</v>
      </c>
      <c r="O26" s="209">
        <f t="shared" si="11"/>
        <v>4169.5996212379032</v>
      </c>
      <c r="P26" s="209">
        <f t="shared" si="12"/>
        <v>1167.7814075752424</v>
      </c>
      <c r="Q26" s="209">
        <f t="shared" si="13"/>
        <v>3713.1996212379054</v>
      </c>
      <c r="R26" s="209">
        <f t="shared" si="14"/>
        <v>1167.7814075752424</v>
      </c>
      <c r="S26" s="209">
        <f t="shared" si="15"/>
        <v>3256.7996212379039</v>
      </c>
      <c r="T26" s="209">
        <f t="shared" si="16"/>
        <v>1167.7814075752424</v>
      </c>
      <c r="U26" s="209">
        <f t="shared" si="17"/>
        <v>2800.3996212379043</v>
      </c>
      <c r="V26" s="209">
        <f t="shared" si="18"/>
        <v>1167.7814075752424</v>
      </c>
      <c r="W26" s="209">
        <f t="shared" si="19"/>
        <v>2343.9996212379042</v>
      </c>
      <c r="X26" s="209">
        <f t="shared" si="20"/>
        <v>1167.7814075752424</v>
      </c>
      <c r="Y26" s="209">
        <f t="shared" si="21"/>
        <v>1887.5996212379027</v>
      </c>
      <c r="Z26" s="209">
        <f t="shared" si="22"/>
        <v>1167.7814075752424</v>
      </c>
      <c r="AA26" s="209">
        <f t="shared" si="23"/>
        <v>1431.1996212379047</v>
      </c>
      <c r="AB26" s="209">
        <f t="shared" si="24"/>
        <v>1167.7814075752424</v>
      </c>
      <c r="AC26" s="209">
        <f t="shared" si="25"/>
        <v>974.79962123790324</v>
      </c>
      <c r="AD26" s="209">
        <f t="shared" si="26"/>
        <v>1167.7814075752424</v>
      </c>
      <c r="AE26" s="209">
        <f t="shared" si="27"/>
        <v>518.3996212379036</v>
      </c>
    </row>
    <row r="27" spans="1:31" ht="22.15" customHeight="1" x14ac:dyDescent="0.25">
      <c r="A27" s="213"/>
      <c r="B27" s="205"/>
      <c r="C27" s="205"/>
      <c r="D27" s="205"/>
      <c r="E27" s="205"/>
      <c r="F27" s="205"/>
      <c r="G27" s="205"/>
      <c r="H27" s="205"/>
      <c r="I27" s="222">
        <v>12</v>
      </c>
      <c r="J27" s="209">
        <f t="shared" si="6"/>
        <v>1144.8837329169041</v>
      </c>
      <c r="K27" s="209">
        <f t="shared" si="7"/>
        <v>6227.283354154808</v>
      </c>
      <c r="L27" s="209">
        <f t="shared" si="8"/>
        <v>1144.8837329169041</v>
      </c>
      <c r="M27" s="209">
        <f t="shared" si="9"/>
        <v>5770.8833541548083</v>
      </c>
      <c r="N27" s="209">
        <f t="shared" si="10"/>
        <v>1144.8837329169041</v>
      </c>
      <c r="O27" s="209">
        <f t="shared" si="11"/>
        <v>5314.4833541548069</v>
      </c>
      <c r="P27" s="209">
        <f t="shared" si="12"/>
        <v>1144.8837329169041</v>
      </c>
      <c r="Q27" s="209">
        <f t="shared" si="13"/>
        <v>4858.0833541548091</v>
      </c>
      <c r="R27" s="209">
        <f t="shared" si="14"/>
        <v>1144.8837329169041</v>
      </c>
      <c r="S27" s="209">
        <f t="shared" si="15"/>
        <v>4401.6833541548076</v>
      </c>
      <c r="T27" s="209">
        <f t="shared" si="16"/>
        <v>1144.8837329169041</v>
      </c>
      <c r="U27" s="209">
        <f t="shared" si="17"/>
        <v>3945.2833541548084</v>
      </c>
      <c r="V27" s="209">
        <f t="shared" si="18"/>
        <v>1144.8837329169041</v>
      </c>
      <c r="W27" s="209">
        <f t="shared" si="19"/>
        <v>3488.8833541548083</v>
      </c>
      <c r="X27" s="209">
        <f t="shared" si="20"/>
        <v>1144.8837329169041</v>
      </c>
      <c r="Y27" s="209">
        <f t="shared" si="21"/>
        <v>3032.4833541548069</v>
      </c>
      <c r="Z27" s="209">
        <f t="shared" si="22"/>
        <v>1144.8837329169041</v>
      </c>
      <c r="AA27" s="209">
        <f t="shared" si="23"/>
        <v>2576.0833541548091</v>
      </c>
      <c r="AB27" s="209">
        <f t="shared" si="24"/>
        <v>1144.8837329169041</v>
      </c>
      <c r="AC27" s="209">
        <f t="shared" si="25"/>
        <v>2119.6833541548076</v>
      </c>
      <c r="AD27" s="209">
        <f t="shared" si="26"/>
        <v>1144.8837329169041</v>
      </c>
      <c r="AE27" s="209">
        <f t="shared" si="27"/>
        <v>1663.2833541548077</v>
      </c>
    </row>
    <row r="28" spans="1:31" ht="22.15" customHeight="1" x14ac:dyDescent="0.25">
      <c r="A28" s="205"/>
      <c r="B28" s="205"/>
      <c r="C28" s="205"/>
      <c r="D28" s="205"/>
      <c r="E28" s="205"/>
      <c r="F28" s="205"/>
      <c r="G28" s="205"/>
      <c r="H28" s="205"/>
      <c r="I28" s="222">
        <v>13</v>
      </c>
      <c r="J28" s="209">
        <f t="shared" si="6"/>
        <v>1122.4350322714747</v>
      </c>
      <c r="K28" s="209">
        <f t="shared" si="7"/>
        <v>7349.7183864262824</v>
      </c>
      <c r="L28" s="209">
        <f t="shared" si="8"/>
        <v>1122.4350322714747</v>
      </c>
      <c r="M28" s="209">
        <f t="shared" si="9"/>
        <v>6893.3183864262828</v>
      </c>
      <c r="N28" s="209">
        <f t="shared" si="10"/>
        <v>1122.4350322714747</v>
      </c>
      <c r="O28" s="209">
        <f t="shared" si="11"/>
        <v>6436.9183864262814</v>
      </c>
      <c r="P28" s="209">
        <f t="shared" si="12"/>
        <v>1122.4350322714747</v>
      </c>
      <c r="Q28" s="209">
        <f t="shared" si="13"/>
        <v>5980.5183864262835</v>
      </c>
      <c r="R28" s="209">
        <f t="shared" si="14"/>
        <v>1122.4350322714747</v>
      </c>
      <c r="S28" s="209">
        <f t="shared" si="15"/>
        <v>5524.1183864262821</v>
      </c>
      <c r="T28" s="209">
        <f t="shared" si="16"/>
        <v>1122.4350322714747</v>
      </c>
      <c r="U28" s="209">
        <f t="shared" si="17"/>
        <v>5067.7183864262834</v>
      </c>
      <c r="V28" s="209">
        <f t="shared" si="18"/>
        <v>1122.4350322714747</v>
      </c>
      <c r="W28" s="209">
        <f t="shared" si="19"/>
        <v>4611.3183864262828</v>
      </c>
      <c r="X28" s="209">
        <f t="shared" si="20"/>
        <v>1122.4350322714747</v>
      </c>
      <c r="Y28" s="209">
        <f t="shared" si="21"/>
        <v>4154.9183864262814</v>
      </c>
      <c r="Z28" s="209">
        <f t="shared" si="22"/>
        <v>1122.4350322714747</v>
      </c>
      <c r="AA28" s="209">
        <f t="shared" si="23"/>
        <v>3698.5183864262835</v>
      </c>
      <c r="AB28" s="209">
        <f t="shared" si="24"/>
        <v>1122.4350322714747</v>
      </c>
      <c r="AC28" s="209">
        <f t="shared" si="25"/>
        <v>3242.1183864262821</v>
      </c>
      <c r="AD28" s="209">
        <f t="shared" si="26"/>
        <v>1122.4350322714747</v>
      </c>
      <c r="AE28" s="209">
        <f t="shared" si="27"/>
        <v>2785.7183864262824</v>
      </c>
    </row>
    <row r="29" spans="1:31" ht="22.15" customHeight="1" x14ac:dyDescent="0.25">
      <c r="A29" s="205"/>
      <c r="B29" s="205"/>
      <c r="C29" s="205"/>
      <c r="D29" s="205"/>
      <c r="E29" s="205"/>
      <c r="F29" s="205"/>
      <c r="G29" s="205"/>
      <c r="H29" s="205"/>
      <c r="I29" s="222">
        <v>14</v>
      </c>
      <c r="J29" s="209">
        <f t="shared" si="6"/>
        <v>1100.4265022269358</v>
      </c>
      <c r="K29" s="209">
        <f t="shared" si="7"/>
        <v>8450.144888653218</v>
      </c>
      <c r="L29" s="209">
        <f t="shared" si="8"/>
        <v>1100.4265022269358</v>
      </c>
      <c r="M29" s="209">
        <f t="shared" si="9"/>
        <v>7993.7448886532184</v>
      </c>
      <c r="N29" s="209">
        <f t="shared" si="10"/>
        <v>1100.4265022269358</v>
      </c>
      <c r="O29" s="209">
        <f t="shared" si="11"/>
        <v>7537.3448886532169</v>
      </c>
      <c r="P29" s="209">
        <f t="shared" si="12"/>
        <v>1100.4265022269358</v>
      </c>
      <c r="Q29" s="209">
        <f t="shared" si="13"/>
        <v>7080.9448886532191</v>
      </c>
      <c r="R29" s="209">
        <f t="shared" si="14"/>
        <v>1100.4265022269358</v>
      </c>
      <c r="S29" s="209">
        <f t="shared" si="15"/>
        <v>6624.5448886532176</v>
      </c>
      <c r="T29" s="209">
        <f t="shared" si="16"/>
        <v>1100.4265022269358</v>
      </c>
      <c r="U29" s="209">
        <f t="shared" si="17"/>
        <v>6168.1448886532189</v>
      </c>
      <c r="V29" s="209">
        <f t="shared" si="18"/>
        <v>1100.4265022269358</v>
      </c>
      <c r="W29" s="209">
        <f t="shared" si="19"/>
        <v>5711.7448886532184</v>
      </c>
      <c r="X29" s="209">
        <f t="shared" si="20"/>
        <v>1100.4265022269358</v>
      </c>
      <c r="Y29" s="209">
        <f t="shared" si="21"/>
        <v>5255.3448886532169</v>
      </c>
      <c r="Z29" s="209">
        <f t="shared" si="22"/>
        <v>1100.4265022269358</v>
      </c>
      <c r="AA29" s="209">
        <f t="shared" si="23"/>
        <v>4798.9448886532191</v>
      </c>
      <c r="AB29" s="209">
        <f t="shared" si="24"/>
        <v>1100.4265022269358</v>
      </c>
      <c r="AC29" s="209">
        <f t="shared" si="25"/>
        <v>4342.5448886532176</v>
      </c>
      <c r="AD29" s="209">
        <f t="shared" si="26"/>
        <v>1100.4265022269358</v>
      </c>
      <c r="AE29" s="209">
        <f t="shared" si="27"/>
        <v>3886.144888653218</v>
      </c>
    </row>
    <row r="30" spans="1:31" ht="22.15" customHeight="1" x14ac:dyDescent="0.25">
      <c r="A30" s="211" t="s">
        <v>88</v>
      </c>
      <c r="B30" s="205"/>
      <c r="C30" s="205"/>
      <c r="D30" s="205"/>
      <c r="E30" s="205"/>
      <c r="F30" s="205"/>
      <c r="G30" s="205"/>
      <c r="H30" s="205"/>
      <c r="I30" s="222">
        <v>15</v>
      </c>
      <c r="J30" s="209">
        <f t="shared" si="6"/>
        <v>1078.8495119871923</v>
      </c>
      <c r="K30" s="209">
        <f t="shared" si="7"/>
        <v>9528.9944006404112</v>
      </c>
      <c r="L30" s="209">
        <f t="shared" si="8"/>
        <v>1078.8495119871923</v>
      </c>
      <c r="M30" s="209">
        <f t="shared" si="9"/>
        <v>9072.5944006404097</v>
      </c>
      <c r="N30" s="209">
        <f t="shared" si="10"/>
        <v>1078.8495119871923</v>
      </c>
      <c r="O30" s="209">
        <f t="shared" si="11"/>
        <v>8616.1944006404083</v>
      </c>
      <c r="P30" s="209">
        <f t="shared" si="12"/>
        <v>1078.8495119871923</v>
      </c>
      <c r="Q30" s="209">
        <f t="shared" si="13"/>
        <v>8159.7944006404114</v>
      </c>
      <c r="R30" s="209">
        <f t="shared" si="14"/>
        <v>1078.8495119871923</v>
      </c>
      <c r="S30" s="209">
        <f t="shared" si="15"/>
        <v>7703.3944006404099</v>
      </c>
      <c r="T30" s="209">
        <f t="shared" si="16"/>
        <v>1078.8495119871923</v>
      </c>
      <c r="U30" s="209">
        <f t="shared" si="17"/>
        <v>7246.9944006404112</v>
      </c>
      <c r="V30" s="209">
        <f t="shared" si="18"/>
        <v>1078.8495119871923</v>
      </c>
      <c r="W30" s="209">
        <f t="shared" si="19"/>
        <v>6790.5944006404106</v>
      </c>
      <c r="X30" s="209">
        <f t="shared" si="20"/>
        <v>1078.8495119871923</v>
      </c>
      <c r="Y30" s="209">
        <f t="shared" si="21"/>
        <v>6334.1944006404092</v>
      </c>
      <c r="Z30" s="209">
        <f t="shared" si="22"/>
        <v>1078.8495119871923</v>
      </c>
      <c r="AA30" s="209">
        <f t="shared" si="23"/>
        <v>5877.7944006404114</v>
      </c>
      <c r="AB30" s="209">
        <f t="shared" si="24"/>
        <v>1078.8495119871923</v>
      </c>
      <c r="AC30" s="209">
        <f t="shared" si="25"/>
        <v>5421.3944006404099</v>
      </c>
      <c r="AD30" s="209">
        <f t="shared" si="26"/>
        <v>1078.8495119871923</v>
      </c>
      <c r="AE30" s="209">
        <f t="shared" si="27"/>
        <v>4964.9944006404103</v>
      </c>
    </row>
    <row r="31" spans="1:31" ht="22.15" customHeight="1" x14ac:dyDescent="0.25">
      <c r="A31" s="223" t="s">
        <v>89</v>
      </c>
      <c r="B31" s="209">
        <f>MIN($D$15:$D$25)</f>
        <v>6.7869833666614596</v>
      </c>
      <c r="C31" s="205"/>
      <c r="D31" s="205"/>
      <c r="E31" s="205"/>
      <c r="F31" s="205"/>
      <c r="G31" s="205"/>
      <c r="H31" s="205"/>
      <c r="I31" s="222">
        <v>16</v>
      </c>
      <c r="J31" s="209">
        <f t="shared" si="6"/>
        <v>1057.6955999874433</v>
      </c>
      <c r="K31" s="209">
        <f t="shared" si="7"/>
        <v>10586.690000627854</v>
      </c>
      <c r="L31" s="209">
        <f t="shared" si="8"/>
        <v>1057.6955999874433</v>
      </c>
      <c r="M31" s="209">
        <f t="shared" si="9"/>
        <v>10130.290000627852</v>
      </c>
      <c r="N31" s="209">
        <f t="shared" si="10"/>
        <v>1057.6955999874433</v>
      </c>
      <c r="O31" s="209">
        <f t="shared" si="11"/>
        <v>9673.8900006278509</v>
      </c>
      <c r="P31" s="209">
        <f t="shared" si="12"/>
        <v>1057.6955999874433</v>
      </c>
      <c r="Q31" s="209">
        <f t="shared" si="13"/>
        <v>9217.4900006278549</v>
      </c>
      <c r="R31" s="209">
        <f t="shared" si="14"/>
        <v>1057.6955999874433</v>
      </c>
      <c r="S31" s="209">
        <f t="shared" si="15"/>
        <v>8761.0900006278534</v>
      </c>
      <c r="T31" s="209">
        <f t="shared" si="16"/>
        <v>1057.6955999874433</v>
      </c>
      <c r="U31" s="209">
        <f t="shared" si="17"/>
        <v>8304.6900006278538</v>
      </c>
      <c r="V31" s="209">
        <f t="shared" si="18"/>
        <v>1057.6955999874433</v>
      </c>
      <c r="W31" s="209">
        <f t="shared" si="19"/>
        <v>7848.2900006278542</v>
      </c>
      <c r="X31" s="209">
        <f t="shared" si="20"/>
        <v>1057.6955999874433</v>
      </c>
      <c r="Y31" s="209">
        <f t="shared" si="21"/>
        <v>7391.8900006278527</v>
      </c>
      <c r="Z31" s="209">
        <f t="shared" si="22"/>
        <v>1057.6955999874433</v>
      </c>
      <c r="AA31" s="209">
        <f t="shared" si="23"/>
        <v>6935.4900006278549</v>
      </c>
      <c r="AB31" s="209">
        <f t="shared" si="24"/>
        <v>1057.6955999874433</v>
      </c>
      <c r="AC31" s="209">
        <f t="shared" si="25"/>
        <v>6479.0900006278534</v>
      </c>
      <c r="AD31" s="209">
        <f t="shared" si="26"/>
        <v>1057.6955999874433</v>
      </c>
      <c r="AE31" s="209">
        <f t="shared" si="27"/>
        <v>6022.6900006278538</v>
      </c>
    </row>
    <row r="32" spans="1:31" ht="22.15" customHeight="1" x14ac:dyDescent="0.25">
      <c r="A32" s="223" t="s">
        <v>90</v>
      </c>
      <c r="B32" s="209">
        <f>MAX($D$15:$D$25)</f>
        <v>10.556081628055461</v>
      </c>
      <c r="C32" s="205"/>
      <c r="D32" s="205"/>
      <c r="E32" s="205"/>
      <c r="F32" s="205"/>
      <c r="G32" s="205"/>
      <c r="H32" s="205"/>
      <c r="I32" s="222">
        <v>17</v>
      </c>
      <c r="J32" s="209">
        <f t="shared" si="6"/>
        <v>1036.9564705759246</v>
      </c>
      <c r="K32" s="209">
        <f t="shared" si="7"/>
        <v>11623.646471203778</v>
      </c>
      <c r="L32" s="209">
        <f t="shared" si="8"/>
        <v>1036.9564705759246</v>
      </c>
      <c r="M32" s="209">
        <f t="shared" si="9"/>
        <v>11167.246471203776</v>
      </c>
      <c r="N32" s="209">
        <f t="shared" si="10"/>
        <v>1036.9564705759246</v>
      </c>
      <c r="O32" s="209">
        <f t="shared" si="11"/>
        <v>10710.846471203775</v>
      </c>
      <c r="P32" s="209">
        <f t="shared" si="12"/>
        <v>1036.9564705759246</v>
      </c>
      <c r="Q32" s="209">
        <f t="shared" si="13"/>
        <v>10254.446471203779</v>
      </c>
      <c r="R32" s="209">
        <f t="shared" si="14"/>
        <v>1036.9564705759246</v>
      </c>
      <c r="S32" s="209">
        <f t="shared" si="15"/>
        <v>9798.0464712037774</v>
      </c>
      <c r="T32" s="209">
        <f t="shared" si="16"/>
        <v>1036.9564705759246</v>
      </c>
      <c r="U32" s="209">
        <f t="shared" si="17"/>
        <v>9341.6464712037778</v>
      </c>
      <c r="V32" s="209">
        <f t="shared" si="18"/>
        <v>1036.9564705759246</v>
      </c>
      <c r="W32" s="209">
        <f t="shared" si="19"/>
        <v>8885.2464712037781</v>
      </c>
      <c r="X32" s="209">
        <f t="shared" si="20"/>
        <v>1036.9564705759246</v>
      </c>
      <c r="Y32" s="209">
        <f t="shared" si="21"/>
        <v>8428.8464712037767</v>
      </c>
      <c r="Z32" s="209">
        <f t="shared" si="22"/>
        <v>1036.9564705759246</v>
      </c>
      <c r="AA32" s="209">
        <f t="shared" si="23"/>
        <v>7972.4464712037798</v>
      </c>
      <c r="AB32" s="209">
        <f t="shared" si="24"/>
        <v>1036.9564705759246</v>
      </c>
      <c r="AC32" s="209">
        <f t="shared" si="25"/>
        <v>7516.0464712037783</v>
      </c>
      <c r="AD32" s="209">
        <f t="shared" si="26"/>
        <v>1036.9564705759246</v>
      </c>
      <c r="AE32" s="209">
        <f t="shared" si="27"/>
        <v>7059.6464712037787</v>
      </c>
    </row>
    <row r="33" spans="1:31" ht="22.15" customHeight="1" x14ac:dyDescent="0.25">
      <c r="A33" s="223" t="s">
        <v>123</v>
      </c>
      <c r="B33" s="209">
        <f>B32-B31</f>
        <v>3.7690982613940012</v>
      </c>
      <c r="C33" s="205"/>
      <c r="D33" s="205"/>
      <c r="E33" s="205"/>
      <c r="F33" s="205"/>
      <c r="G33" s="205"/>
      <c r="H33" s="205"/>
      <c r="I33" s="222">
        <v>18</v>
      </c>
      <c r="J33" s="209">
        <f t="shared" si="6"/>
        <v>1016.6239907607105</v>
      </c>
      <c r="K33" s="209">
        <f t="shared" si="7"/>
        <v>12640.270461964488</v>
      </c>
      <c r="L33" s="209">
        <f t="shared" si="8"/>
        <v>1016.6239907607105</v>
      </c>
      <c r="M33" s="209">
        <f t="shared" si="9"/>
        <v>12183.870461964487</v>
      </c>
      <c r="N33" s="209">
        <f t="shared" si="10"/>
        <v>1016.6239907607105</v>
      </c>
      <c r="O33" s="209">
        <f t="shared" si="11"/>
        <v>11727.470461964485</v>
      </c>
      <c r="P33" s="209">
        <f t="shared" si="12"/>
        <v>1016.6239907607105</v>
      </c>
      <c r="Q33" s="209">
        <f t="shared" si="13"/>
        <v>11271.070461964489</v>
      </c>
      <c r="R33" s="209">
        <f t="shared" si="14"/>
        <v>1016.6239907607105</v>
      </c>
      <c r="S33" s="209">
        <f t="shared" si="15"/>
        <v>10814.670461964488</v>
      </c>
      <c r="T33" s="209">
        <f t="shared" si="16"/>
        <v>1016.6239907607105</v>
      </c>
      <c r="U33" s="209">
        <f t="shared" si="17"/>
        <v>10358.270461964488</v>
      </c>
      <c r="V33" s="209">
        <f t="shared" si="18"/>
        <v>1016.6239907607105</v>
      </c>
      <c r="W33" s="209">
        <f t="shared" si="19"/>
        <v>9901.8704619644886</v>
      </c>
      <c r="X33" s="209">
        <f t="shared" si="20"/>
        <v>1016.6239907607105</v>
      </c>
      <c r="Y33" s="209">
        <f t="shared" si="21"/>
        <v>9445.4704619644872</v>
      </c>
      <c r="Z33" s="209">
        <f t="shared" si="22"/>
        <v>1016.6239907607105</v>
      </c>
      <c r="AA33" s="209">
        <f t="shared" si="23"/>
        <v>8989.0704619644894</v>
      </c>
      <c r="AB33" s="209">
        <f t="shared" si="24"/>
        <v>1016.6239907607105</v>
      </c>
      <c r="AC33" s="209">
        <f t="shared" si="25"/>
        <v>8532.6704619644879</v>
      </c>
      <c r="AD33" s="209">
        <f t="shared" si="26"/>
        <v>1016.6239907607105</v>
      </c>
      <c r="AE33" s="209">
        <f t="shared" si="27"/>
        <v>8076.2704619644892</v>
      </c>
    </row>
    <row r="34" spans="1:31" ht="22.15" customHeight="1" x14ac:dyDescent="0.25">
      <c r="A34" s="223" t="s">
        <v>124</v>
      </c>
      <c r="B34" s="209">
        <f>$C$15</f>
        <v>19219.851851008301</v>
      </c>
      <c r="C34" s="205"/>
      <c r="D34" s="205"/>
      <c r="E34" s="205"/>
      <c r="F34" s="205"/>
      <c r="G34" s="205"/>
      <c r="H34" s="205"/>
      <c r="I34" s="222">
        <v>19</v>
      </c>
      <c r="J34" s="209">
        <f t="shared" si="6"/>
        <v>996.69018702030451</v>
      </c>
      <c r="K34" s="209">
        <f t="shared" si="7"/>
        <v>13636.960648984792</v>
      </c>
      <c r="L34" s="209">
        <f t="shared" si="8"/>
        <v>996.69018702030451</v>
      </c>
      <c r="M34" s="209">
        <f t="shared" si="9"/>
        <v>13180.560648984791</v>
      </c>
      <c r="N34" s="209">
        <f t="shared" si="10"/>
        <v>996.69018702030451</v>
      </c>
      <c r="O34" s="209">
        <f t="shared" si="11"/>
        <v>12724.160648984789</v>
      </c>
      <c r="P34" s="209">
        <f t="shared" si="12"/>
        <v>996.69018702030451</v>
      </c>
      <c r="Q34" s="209">
        <f t="shared" si="13"/>
        <v>12267.760648984793</v>
      </c>
      <c r="R34" s="209">
        <f t="shared" si="14"/>
        <v>996.69018702030451</v>
      </c>
      <c r="S34" s="209">
        <f t="shared" si="15"/>
        <v>11811.360648984792</v>
      </c>
      <c r="T34" s="209">
        <f t="shared" si="16"/>
        <v>996.69018702030451</v>
      </c>
      <c r="U34" s="209">
        <f t="shared" si="17"/>
        <v>11354.960648984792</v>
      </c>
      <c r="V34" s="209">
        <f t="shared" si="18"/>
        <v>996.69018702030451</v>
      </c>
      <c r="W34" s="209">
        <f t="shared" si="19"/>
        <v>10898.560648984792</v>
      </c>
      <c r="X34" s="209">
        <f t="shared" si="20"/>
        <v>996.69018702030451</v>
      </c>
      <c r="Y34" s="209">
        <f t="shared" si="21"/>
        <v>10442.160648984791</v>
      </c>
      <c r="Z34" s="209">
        <f t="shared" si="22"/>
        <v>996.69018702030451</v>
      </c>
      <c r="AA34" s="209">
        <f t="shared" si="23"/>
        <v>9985.7606489847931</v>
      </c>
      <c r="AB34" s="209">
        <f t="shared" si="24"/>
        <v>996.69018702030451</v>
      </c>
      <c r="AC34" s="209">
        <f t="shared" si="25"/>
        <v>9529.3606489847916</v>
      </c>
      <c r="AD34" s="209">
        <f t="shared" si="26"/>
        <v>996.69018702030451</v>
      </c>
      <c r="AE34" s="209">
        <f t="shared" si="27"/>
        <v>9072.9606489847938</v>
      </c>
    </row>
    <row r="35" spans="1:31" ht="36.75" customHeight="1" x14ac:dyDescent="0.25">
      <c r="A35" s="223" t="s">
        <v>125</v>
      </c>
      <c r="B35" s="209">
        <f>$C$25</f>
        <v>14655.851851008301</v>
      </c>
      <c r="C35" s="205"/>
      <c r="D35" s="205"/>
      <c r="E35" s="205"/>
      <c r="F35" s="205"/>
      <c r="G35" s="205"/>
      <c r="H35" s="205"/>
      <c r="I35" s="222">
        <v>20</v>
      </c>
      <c r="J35" s="209">
        <f t="shared" si="6"/>
        <v>977.14724217676894</v>
      </c>
      <c r="K35" s="209">
        <f t="shared" si="7"/>
        <v>14614.10789116156</v>
      </c>
      <c r="L35" s="209">
        <f t="shared" si="8"/>
        <v>977.14724217676894</v>
      </c>
      <c r="M35" s="209">
        <f t="shared" si="9"/>
        <v>14157.707891161559</v>
      </c>
      <c r="N35" s="209">
        <f t="shared" si="10"/>
        <v>977.14724217676894</v>
      </c>
      <c r="O35" s="209">
        <f t="shared" si="11"/>
        <v>13701.307891161558</v>
      </c>
      <c r="P35" s="209">
        <f t="shared" si="12"/>
        <v>977.14724217676894</v>
      </c>
      <c r="Q35" s="209">
        <f t="shared" si="13"/>
        <v>13244.907891161562</v>
      </c>
      <c r="R35" s="209">
        <f t="shared" si="14"/>
        <v>977.14724217676894</v>
      </c>
      <c r="S35" s="209">
        <f t="shared" si="15"/>
        <v>12788.50789116156</v>
      </c>
      <c r="T35" s="209">
        <f t="shared" si="16"/>
        <v>977.14724217676894</v>
      </c>
      <c r="U35" s="209">
        <f t="shared" si="17"/>
        <v>12332.10789116156</v>
      </c>
      <c r="V35" s="209">
        <f t="shared" si="18"/>
        <v>977.14724217676894</v>
      </c>
      <c r="W35" s="209">
        <f t="shared" si="19"/>
        <v>11875.707891161561</v>
      </c>
      <c r="X35" s="209">
        <f t="shared" si="20"/>
        <v>977.14724217676894</v>
      </c>
      <c r="Y35" s="209">
        <f t="shared" si="21"/>
        <v>11419.307891161559</v>
      </c>
      <c r="Z35" s="209">
        <f t="shared" si="22"/>
        <v>977.14724217676894</v>
      </c>
      <c r="AA35" s="209">
        <f t="shared" si="23"/>
        <v>10962.907891161562</v>
      </c>
      <c r="AB35" s="209">
        <f t="shared" si="24"/>
        <v>977.14724217676894</v>
      </c>
      <c r="AC35" s="209">
        <f t="shared" si="25"/>
        <v>10506.50789116156</v>
      </c>
      <c r="AD35" s="209">
        <f t="shared" si="26"/>
        <v>977.14724217676894</v>
      </c>
      <c r="AE35" s="209">
        <f t="shared" si="27"/>
        <v>10050.107891161562</v>
      </c>
    </row>
    <row r="36" spans="1:31" ht="36" customHeight="1" x14ac:dyDescent="0.25">
      <c r="A36" s="206" t="s">
        <v>94</v>
      </c>
      <c r="B36" s="208">
        <f>AVERAGE(ABS(H16),ABS(H17),ABS(H18),ABS(H19),ABS(H20),ABS(H21),ABS(H22),ABS(H23),ABS(H24),ABS(H25))</f>
        <v>1.0918912004047849</v>
      </c>
      <c r="C36" s="205"/>
      <c r="D36" s="205"/>
      <c r="E36" s="205"/>
      <c r="F36" s="205"/>
      <c r="G36" s="205"/>
      <c r="H36" s="205"/>
      <c r="I36" s="222">
        <v>21</v>
      </c>
      <c r="J36" s="209">
        <f t="shared" si="6"/>
        <v>957.98749233016576</v>
      </c>
      <c r="K36" s="209">
        <f t="shared" si="7"/>
        <v>15572.095383491725</v>
      </c>
      <c r="L36" s="209">
        <f t="shared" si="8"/>
        <v>957.98749233016576</v>
      </c>
      <c r="M36" s="209">
        <f t="shared" si="9"/>
        <v>15115.695383491724</v>
      </c>
      <c r="N36" s="209">
        <f t="shared" si="10"/>
        <v>957.98749233016576</v>
      </c>
      <c r="O36" s="209">
        <f t="shared" si="11"/>
        <v>14659.295383491723</v>
      </c>
      <c r="P36" s="209">
        <f t="shared" si="12"/>
        <v>957.98749233016576</v>
      </c>
      <c r="Q36" s="209">
        <f t="shared" si="13"/>
        <v>14202.895383491727</v>
      </c>
      <c r="R36" s="209">
        <f t="shared" si="14"/>
        <v>957.98749233016576</v>
      </c>
      <c r="S36" s="209">
        <f t="shared" si="15"/>
        <v>13746.495383491725</v>
      </c>
      <c r="T36" s="209">
        <f t="shared" si="16"/>
        <v>957.98749233016576</v>
      </c>
      <c r="U36" s="209">
        <f t="shared" si="17"/>
        <v>13290.095383491725</v>
      </c>
      <c r="V36" s="209">
        <f t="shared" si="18"/>
        <v>957.98749233016576</v>
      </c>
      <c r="W36" s="209">
        <f t="shared" si="19"/>
        <v>12833.695383491726</v>
      </c>
      <c r="X36" s="209">
        <f t="shared" si="20"/>
        <v>957.98749233016576</v>
      </c>
      <c r="Y36" s="209">
        <f t="shared" si="21"/>
        <v>12377.295383491724</v>
      </c>
      <c r="Z36" s="209">
        <f t="shared" si="22"/>
        <v>957.98749233016576</v>
      </c>
      <c r="AA36" s="209">
        <f t="shared" si="23"/>
        <v>11920.895383491727</v>
      </c>
      <c r="AB36" s="209">
        <f t="shared" si="24"/>
        <v>957.98749233016576</v>
      </c>
      <c r="AC36" s="209">
        <f t="shared" si="25"/>
        <v>11464.495383491725</v>
      </c>
      <c r="AD36" s="209">
        <f t="shared" si="26"/>
        <v>957.98749233016576</v>
      </c>
      <c r="AE36" s="209">
        <f t="shared" si="27"/>
        <v>11008.095383491727</v>
      </c>
    </row>
    <row r="37" spans="1:31" ht="22.15" customHeight="1" x14ac:dyDescent="0.25">
      <c r="A37" s="205"/>
      <c r="B37" s="205"/>
      <c r="C37" s="205"/>
      <c r="D37" s="205"/>
      <c r="E37" s="205"/>
      <c r="F37" s="205"/>
      <c r="G37" s="205"/>
      <c r="H37" s="205"/>
      <c r="I37" s="222">
        <v>22</v>
      </c>
      <c r="J37" s="209">
        <f t="shared" si="6"/>
        <v>939.20342385310357</v>
      </c>
      <c r="K37" s="209">
        <f t="shared" si="7"/>
        <v>16511.298807344829</v>
      </c>
      <c r="L37" s="209">
        <f t="shared" si="8"/>
        <v>939.20342385310357</v>
      </c>
      <c r="M37" s="209">
        <f t="shared" si="9"/>
        <v>16054.898807344827</v>
      </c>
      <c r="N37" s="209">
        <f t="shared" si="10"/>
        <v>939.20342385310357</v>
      </c>
      <c r="O37" s="209">
        <f t="shared" si="11"/>
        <v>15598.498807344826</v>
      </c>
      <c r="P37" s="209">
        <f t="shared" si="12"/>
        <v>939.20342385310357</v>
      </c>
      <c r="Q37" s="209">
        <f t="shared" si="13"/>
        <v>15142.09880734483</v>
      </c>
      <c r="R37" s="209">
        <f t="shared" si="14"/>
        <v>939.20342385310357</v>
      </c>
      <c r="S37" s="209">
        <f t="shared" si="15"/>
        <v>14685.698807344828</v>
      </c>
      <c r="T37" s="209">
        <f t="shared" si="16"/>
        <v>939.20342385310357</v>
      </c>
      <c r="U37" s="209">
        <f t="shared" si="17"/>
        <v>14229.298807344829</v>
      </c>
      <c r="V37" s="209">
        <f t="shared" si="18"/>
        <v>939.20342385310357</v>
      </c>
      <c r="W37" s="209">
        <f t="shared" si="19"/>
        <v>13772.898807344829</v>
      </c>
      <c r="X37" s="209">
        <f t="shared" si="20"/>
        <v>939.20342385310357</v>
      </c>
      <c r="Y37" s="209">
        <f t="shared" si="21"/>
        <v>13316.498807344828</v>
      </c>
      <c r="Z37" s="209">
        <f t="shared" si="22"/>
        <v>939.20342385310357</v>
      </c>
      <c r="AA37" s="209">
        <f t="shared" si="23"/>
        <v>12860.09880734483</v>
      </c>
      <c r="AB37" s="209">
        <f t="shared" si="24"/>
        <v>939.20342385310357</v>
      </c>
      <c r="AC37" s="209">
        <f t="shared" si="25"/>
        <v>12403.698807344828</v>
      </c>
      <c r="AD37" s="209">
        <f t="shared" si="26"/>
        <v>939.20342385310357</v>
      </c>
      <c r="AE37" s="209">
        <f t="shared" si="27"/>
        <v>11947.29880734483</v>
      </c>
    </row>
    <row r="38" spans="1:31" ht="22.15" customHeight="1" x14ac:dyDescent="0.25">
      <c r="A38" s="205"/>
      <c r="B38" s="205"/>
      <c r="C38" s="205"/>
      <c r="D38" s="205"/>
      <c r="E38" s="205"/>
      <c r="F38" s="205"/>
      <c r="G38" s="205"/>
      <c r="H38" s="205"/>
      <c r="I38" s="222">
        <v>23</v>
      </c>
      <c r="J38" s="209">
        <f t="shared" si="6"/>
        <v>920.78767044421943</v>
      </c>
      <c r="K38" s="209">
        <f t="shared" si="7"/>
        <v>17432.086477789049</v>
      </c>
      <c r="L38" s="209">
        <f t="shared" si="8"/>
        <v>920.78767044421943</v>
      </c>
      <c r="M38" s="209">
        <f t="shared" si="9"/>
        <v>16975.686477789048</v>
      </c>
      <c r="N38" s="209">
        <f t="shared" si="10"/>
        <v>920.78767044421943</v>
      </c>
      <c r="O38" s="209">
        <f t="shared" si="11"/>
        <v>16519.286477789046</v>
      </c>
      <c r="P38" s="209">
        <f t="shared" si="12"/>
        <v>920.78767044421943</v>
      </c>
      <c r="Q38" s="209">
        <f t="shared" si="13"/>
        <v>16062.886477789049</v>
      </c>
      <c r="R38" s="209">
        <f t="shared" si="14"/>
        <v>920.78767044421943</v>
      </c>
      <c r="S38" s="209">
        <f t="shared" si="15"/>
        <v>15606.486477789047</v>
      </c>
      <c r="T38" s="209">
        <f t="shared" si="16"/>
        <v>920.78767044421943</v>
      </c>
      <c r="U38" s="209">
        <f t="shared" si="17"/>
        <v>15150.086477789047</v>
      </c>
      <c r="V38" s="209">
        <f t="shared" si="18"/>
        <v>920.78767044421943</v>
      </c>
      <c r="W38" s="209">
        <f t="shared" si="19"/>
        <v>14693.686477789048</v>
      </c>
      <c r="X38" s="209">
        <f t="shared" si="20"/>
        <v>920.78767044421943</v>
      </c>
      <c r="Y38" s="209">
        <f t="shared" si="21"/>
        <v>14237.286477789046</v>
      </c>
      <c r="Z38" s="209">
        <f t="shared" si="22"/>
        <v>920.78767044421943</v>
      </c>
      <c r="AA38" s="209">
        <f t="shared" si="23"/>
        <v>13780.886477789049</v>
      </c>
      <c r="AB38" s="209">
        <f t="shared" si="24"/>
        <v>920.78767044421943</v>
      </c>
      <c r="AC38" s="209">
        <f t="shared" si="25"/>
        <v>13324.486477789047</v>
      </c>
      <c r="AD38" s="209">
        <f t="shared" si="26"/>
        <v>920.78767044421943</v>
      </c>
      <c r="AE38" s="209">
        <f t="shared" si="27"/>
        <v>12868.086477789049</v>
      </c>
    </row>
    <row r="39" spans="1:31" ht="22.15" customHeight="1" x14ac:dyDescent="0.25">
      <c r="A39" s="205"/>
      <c r="B39" s="205"/>
      <c r="C39" s="205"/>
      <c r="D39" s="205"/>
      <c r="E39" s="205"/>
      <c r="F39" s="205"/>
      <c r="G39" s="205"/>
      <c r="H39" s="205"/>
      <c r="I39" s="222">
        <v>24</v>
      </c>
      <c r="J39" s="209">
        <f t="shared" si="6"/>
        <v>902.73301023943077</v>
      </c>
      <c r="K39" s="209">
        <f t="shared" si="7"/>
        <v>18334.819488028479</v>
      </c>
      <c r="L39" s="209">
        <f t="shared" si="8"/>
        <v>902.73301023943077</v>
      </c>
      <c r="M39" s="209">
        <f t="shared" si="9"/>
        <v>17878.419488028478</v>
      </c>
      <c r="N39" s="209">
        <f t="shared" si="10"/>
        <v>902.73301023943077</v>
      </c>
      <c r="O39" s="209">
        <f t="shared" si="11"/>
        <v>17422.019488028476</v>
      </c>
      <c r="P39" s="209">
        <f t="shared" si="12"/>
        <v>902.73301023943077</v>
      </c>
      <c r="Q39" s="209">
        <f t="shared" si="13"/>
        <v>16965.619488028478</v>
      </c>
      <c r="R39" s="209">
        <f t="shared" si="14"/>
        <v>902.73301023943077</v>
      </c>
      <c r="S39" s="209">
        <f t="shared" si="15"/>
        <v>16509.219488028477</v>
      </c>
      <c r="T39" s="209">
        <f t="shared" si="16"/>
        <v>902.73301023943077</v>
      </c>
      <c r="U39" s="209">
        <f t="shared" si="17"/>
        <v>16052.819488028479</v>
      </c>
      <c r="V39" s="209">
        <f t="shared" si="18"/>
        <v>902.73301023943077</v>
      </c>
      <c r="W39" s="209">
        <f t="shared" si="19"/>
        <v>15596.419488028478</v>
      </c>
      <c r="X39" s="209">
        <f t="shared" si="20"/>
        <v>902.73301023943077</v>
      </c>
      <c r="Y39" s="209">
        <f t="shared" si="21"/>
        <v>15140.019488028476</v>
      </c>
      <c r="Z39" s="209">
        <f t="shared" si="22"/>
        <v>902.73301023943077</v>
      </c>
      <c r="AA39" s="209">
        <f t="shared" si="23"/>
        <v>14683.619488028478</v>
      </c>
      <c r="AB39" s="209">
        <f t="shared" si="24"/>
        <v>902.73301023943077</v>
      </c>
      <c r="AC39" s="209">
        <f t="shared" si="25"/>
        <v>14227.219488028477</v>
      </c>
      <c r="AD39" s="209">
        <f t="shared" si="26"/>
        <v>902.73301023943077</v>
      </c>
      <c r="AE39" s="209">
        <f t="shared" si="27"/>
        <v>13770.819488028479</v>
      </c>
    </row>
    <row r="40" spans="1:31" ht="22.15" customHeight="1" x14ac:dyDescent="0.25">
      <c r="A40" s="205"/>
      <c r="B40" s="205"/>
      <c r="C40" s="205"/>
      <c r="D40" s="205"/>
      <c r="E40" s="205"/>
      <c r="F40" s="205"/>
      <c r="G40" s="205"/>
      <c r="H40" s="205"/>
      <c r="I40" s="222">
        <v>25</v>
      </c>
      <c r="J40" s="209">
        <f t="shared" si="6"/>
        <v>885.03236297983403</v>
      </c>
      <c r="K40" s="209">
        <f t="shared" si="7"/>
        <v>19219.851851008312</v>
      </c>
      <c r="L40" s="209">
        <f t="shared" si="8"/>
        <v>885.03236297983403</v>
      </c>
      <c r="M40" s="209">
        <f t="shared" si="9"/>
        <v>18763.451851008311</v>
      </c>
      <c r="N40" s="209">
        <f t="shared" si="10"/>
        <v>885.03236297983403</v>
      </c>
      <c r="O40" s="209">
        <f t="shared" si="11"/>
        <v>18307.051851008309</v>
      </c>
      <c r="P40" s="209">
        <f t="shared" si="12"/>
        <v>885.03236297983403</v>
      </c>
      <c r="Q40" s="209">
        <f t="shared" si="13"/>
        <v>17850.651851008311</v>
      </c>
      <c r="R40" s="209">
        <f t="shared" si="14"/>
        <v>885.03236297983403</v>
      </c>
      <c r="S40" s="209">
        <f t="shared" si="15"/>
        <v>17394.25185100831</v>
      </c>
      <c r="T40" s="209">
        <f t="shared" si="16"/>
        <v>885.03236297983403</v>
      </c>
      <c r="U40" s="209">
        <f t="shared" si="17"/>
        <v>16937.851851008312</v>
      </c>
      <c r="V40" s="209">
        <f t="shared" si="18"/>
        <v>885.03236297983403</v>
      </c>
      <c r="W40" s="209">
        <f t="shared" si="19"/>
        <v>16481.451851008311</v>
      </c>
      <c r="X40" s="209">
        <f t="shared" si="20"/>
        <v>885.03236297983403</v>
      </c>
      <c r="Y40" s="209">
        <f t="shared" si="21"/>
        <v>16025.051851008309</v>
      </c>
      <c r="Z40" s="209">
        <f t="shared" si="22"/>
        <v>885.03236297983403</v>
      </c>
      <c r="AA40" s="209">
        <f t="shared" si="23"/>
        <v>15568.651851008311</v>
      </c>
      <c r="AB40" s="209">
        <f t="shared" si="24"/>
        <v>885.03236297983403</v>
      </c>
      <c r="AC40" s="209">
        <f t="shared" si="25"/>
        <v>15112.25185100831</v>
      </c>
      <c r="AD40" s="209">
        <f t="shared" si="26"/>
        <v>885.03236297983403</v>
      </c>
      <c r="AE40" s="209">
        <f t="shared" si="27"/>
        <v>14655.851851008312</v>
      </c>
    </row>
    <row r="41" spans="1:31" ht="22.15" customHeight="1" x14ac:dyDescent="0.25">
      <c r="A41" s="205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</row>
    <row r="42" spans="1:31" ht="22.15" customHeight="1" x14ac:dyDescent="0.25">
      <c r="A42" s="205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</row>
    <row r="43" spans="1:31" ht="22.15" customHeight="1" x14ac:dyDescent="0.25">
      <c r="A43" s="205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</row>
    <row r="44" spans="1:31" ht="22.15" customHeight="1" x14ac:dyDescent="0.25">
      <c r="A44" s="205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</row>
    <row r="45" spans="1:31" ht="22.15" customHeight="1" x14ac:dyDescent="0.25">
      <c r="A45" s="205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</row>
    <row r="46" spans="1:31" ht="22.15" customHeight="1" x14ac:dyDescent="0.25">
      <c r="A46" s="205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</row>
    <row r="47" spans="1:31" ht="22.15" customHeight="1" x14ac:dyDescent="0.25">
      <c r="A47" s="205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</row>
    <row r="48" spans="1:31" ht="22.15" customHeight="1" x14ac:dyDescent="0.25">
      <c r="A48" s="205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</row>
    <row r="49" spans="1:31" ht="22.15" customHeight="1" x14ac:dyDescent="0.25">
      <c r="A49" s="205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5"/>
      <c r="AE49" s="205"/>
    </row>
    <row r="50" spans="1:31" ht="22.15" customHeight="1" x14ac:dyDescent="0.25">
      <c r="A50" s="205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5"/>
    </row>
    <row r="51" spans="1:31" ht="22.15" customHeight="1" x14ac:dyDescent="0.25">
      <c r="A51" s="205"/>
      <c r="B51" s="205"/>
      <c r="C51" s="20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</row>
    <row r="52" spans="1:31" ht="22.15" customHeight="1" x14ac:dyDescent="0.25">
      <c r="A52" s="205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</row>
    <row r="53" spans="1:31" ht="22.15" customHeight="1" x14ac:dyDescent="0.25">
      <c r="A53" s="205"/>
      <c r="B53" s="205"/>
      <c r="C53" s="20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</row>
    <row r="54" spans="1:31" ht="22.15" customHeight="1" x14ac:dyDescent="0.25">
      <c r="A54" s="205"/>
      <c r="B54" s="205"/>
      <c r="C54" s="20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</row>
    <row r="55" spans="1:31" ht="22.15" customHeight="1" x14ac:dyDescent="0.25">
      <c r="A55" s="205"/>
      <c r="B55" s="205"/>
      <c r="C55" s="20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</row>
    <row r="56" spans="1:31" ht="22.15" customHeight="1" x14ac:dyDescent="0.25">
      <c r="A56" s="205"/>
      <c r="B56" s="205"/>
      <c r="C56" s="20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</row>
    <row r="57" spans="1:31" ht="22.15" customHeight="1" x14ac:dyDescent="0.25">
      <c r="A57" s="205"/>
      <c r="B57" s="205"/>
      <c r="C57" s="20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</row>
    <row r="58" spans="1:31" ht="22.15" customHeight="1" x14ac:dyDescent="0.25">
      <c r="A58" s="205"/>
      <c r="B58" s="205"/>
      <c r="C58" s="205"/>
      <c r="D58" s="205"/>
      <c r="E58" s="205"/>
      <c r="F58" s="205"/>
      <c r="G58" s="205"/>
      <c r="H58" s="205"/>
      <c r="I58" s="205"/>
      <c r="J58" s="205"/>
      <c r="K58" s="205"/>
      <c r="L58" s="205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/>
      <c r="AC58" s="205"/>
      <c r="AD58" s="205"/>
      <c r="AE58" s="205"/>
    </row>
    <row r="59" spans="1:31" ht="22.15" customHeight="1" x14ac:dyDescent="0.25">
      <c r="A59" s="205"/>
      <c r="B59" s="205"/>
      <c r="C59" s="205"/>
      <c r="D59" s="205"/>
      <c r="E59" s="205"/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/>
      <c r="AC59" s="205"/>
      <c r="AD59" s="205"/>
      <c r="AE59" s="205"/>
    </row>
    <row r="60" spans="1:31" ht="22.15" customHeight="1" x14ac:dyDescent="0.25">
      <c r="A60" s="205"/>
      <c r="B60" s="205"/>
      <c r="C60" s="205"/>
      <c r="D60" s="205"/>
      <c r="E60" s="205"/>
      <c r="F60" s="205"/>
      <c r="G60" s="205"/>
      <c r="H60" s="205"/>
      <c r="I60" s="205"/>
      <c r="J60" s="205"/>
      <c r="K60" s="205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/>
      <c r="AC60" s="205"/>
      <c r="AD60" s="205"/>
      <c r="AE60" s="205"/>
    </row>
    <row r="61" spans="1:31" x14ac:dyDescent="0.25">
      <c r="A61" s="205"/>
      <c r="B61" s="205"/>
      <c r="C61" s="205"/>
      <c r="D61" s="205"/>
      <c r="E61" s="205"/>
      <c r="F61" s="205"/>
      <c r="G61" s="205"/>
      <c r="H61" s="205"/>
      <c r="I61" s="205"/>
      <c r="J61" s="205"/>
      <c r="K61" s="205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</row>
    <row r="62" spans="1:31" x14ac:dyDescent="0.25">
      <c r="A62" s="205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</row>
    <row r="63" spans="1:31" x14ac:dyDescent="0.25">
      <c r="A63" s="205"/>
      <c r="B63" s="205"/>
      <c r="C63" s="205"/>
      <c r="D63" s="205"/>
      <c r="E63" s="205"/>
      <c r="F63" s="205"/>
      <c r="G63" s="205"/>
      <c r="H63" s="205"/>
      <c r="I63" s="205"/>
      <c r="J63" s="205"/>
      <c r="K63" s="205"/>
      <c r="L63" s="205"/>
      <c r="M63" s="205"/>
      <c r="N63" s="205"/>
      <c r="O63" s="205"/>
      <c r="P63" s="205"/>
      <c r="Q63" s="205"/>
      <c r="R63" s="205"/>
      <c r="S63" s="205"/>
      <c r="T63" s="205"/>
      <c r="U63" s="205"/>
      <c r="V63" s="205"/>
      <c r="W63" s="205"/>
      <c r="X63" s="205"/>
      <c r="Y63" s="205"/>
      <c r="Z63" s="205"/>
      <c r="AA63" s="205"/>
      <c r="AB63" s="205"/>
      <c r="AC63" s="205"/>
      <c r="AD63" s="205"/>
      <c r="AE63" s="205"/>
    </row>
    <row r="64" spans="1:31" x14ac:dyDescent="0.25">
      <c r="A64" s="205"/>
      <c r="B64" s="205"/>
      <c r="C64" s="205"/>
      <c r="D64" s="205"/>
      <c r="E64" s="205"/>
      <c r="F64" s="205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5"/>
      <c r="AE64" s="205"/>
    </row>
    <row r="65" spans="1:31" x14ac:dyDescent="0.25">
      <c r="A65" s="205"/>
      <c r="B65" s="205"/>
      <c r="C65" s="205"/>
      <c r="D65" s="205"/>
      <c r="E65" s="205"/>
      <c r="F65" s="205"/>
      <c r="G65" s="205"/>
      <c r="H65" s="205"/>
      <c r="I65" s="205"/>
      <c r="J65" s="205"/>
      <c r="K65" s="205"/>
      <c r="L65" s="205"/>
      <c r="M65" s="205"/>
      <c r="N65" s="205"/>
      <c r="O65" s="205"/>
      <c r="P65" s="205"/>
      <c r="Q65" s="205"/>
      <c r="R65" s="205"/>
      <c r="S65" s="205"/>
      <c r="T65" s="205"/>
      <c r="U65" s="205"/>
      <c r="V65" s="205"/>
      <c r="W65" s="205"/>
      <c r="X65" s="205"/>
      <c r="Y65" s="205"/>
      <c r="Z65" s="205"/>
      <c r="AA65" s="205"/>
      <c r="AB65" s="205"/>
      <c r="AC65" s="205"/>
      <c r="AD65" s="205"/>
      <c r="AE65" s="205"/>
    </row>
    <row r="66" spans="1:31" x14ac:dyDescent="0.25">
      <c r="A66" s="205"/>
      <c r="B66" s="205"/>
      <c r="C66" s="205"/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5"/>
      <c r="P66" s="205"/>
      <c r="Q66" s="205"/>
      <c r="R66" s="205"/>
      <c r="S66" s="205"/>
      <c r="T66" s="205"/>
      <c r="U66" s="205"/>
      <c r="V66" s="205"/>
      <c r="W66" s="205"/>
      <c r="X66" s="205"/>
      <c r="Y66" s="205"/>
      <c r="Z66" s="205"/>
      <c r="AA66" s="205"/>
      <c r="AB66" s="205"/>
      <c r="AC66" s="205"/>
      <c r="AD66" s="205"/>
      <c r="AE66" s="205"/>
    </row>
    <row r="67" spans="1:31" x14ac:dyDescent="0.25">
      <c r="A67" s="205"/>
      <c r="B67" s="205"/>
      <c r="C67" s="205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/>
      <c r="Z67" s="205"/>
      <c r="AA67" s="205"/>
      <c r="AB67" s="205"/>
      <c r="AC67" s="205"/>
      <c r="AD67" s="205"/>
      <c r="AE67" s="205"/>
    </row>
  </sheetData>
  <sheetProtection sheet="1" objects="1" scenarios="1"/>
  <mergeCells count="1">
    <mergeCell ref="A1:G1"/>
  </mergeCells>
  <pageMargins left="0.75" right="0.75" top="1" bottom="1" header="0.5" footer="0.5"/>
  <pageSetup paperSize="9" fitToHeight="0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2">
    <pageSetUpPr fitToPage="1"/>
  </sheetPr>
  <dimension ref="A1:AE67"/>
  <sheetViews>
    <sheetView showGridLines="0" topLeftCell="A47" zoomScale="70" zoomScaleNormal="70" workbookViewId="0">
      <selection activeCell="O17" sqref="O17"/>
    </sheetView>
  </sheetViews>
  <sheetFormatPr defaultRowHeight="15" x14ac:dyDescent="0.25"/>
  <cols>
    <col min="1" max="1" width="40.7109375" customWidth="1"/>
    <col min="2" max="2" width="23.85546875" bestFit="1" customWidth="1"/>
    <col min="3" max="3" width="18.140625" bestFit="1" customWidth="1"/>
    <col min="4" max="4" width="24.7109375" customWidth="1"/>
    <col min="5" max="5" width="23.5703125" bestFit="1" customWidth="1"/>
    <col min="6" max="6" width="19" bestFit="1" customWidth="1"/>
    <col min="7" max="7" width="24.7109375" customWidth="1"/>
    <col min="9" max="9" width="6.140625" bestFit="1" customWidth="1"/>
    <col min="10" max="10" width="11.28515625" bestFit="1" customWidth="1"/>
    <col min="11" max="11" width="14.7109375" bestFit="1" customWidth="1"/>
    <col min="12" max="12" width="11.28515625" bestFit="1" customWidth="1"/>
    <col min="13" max="13" width="14.7109375" bestFit="1" customWidth="1"/>
    <col min="14" max="14" width="11.28515625" bestFit="1" customWidth="1"/>
    <col min="15" max="15" width="14.7109375" bestFit="1" customWidth="1"/>
    <col min="16" max="16" width="11.28515625" bestFit="1" customWidth="1"/>
    <col min="17" max="17" width="14.7109375" bestFit="1" customWidth="1"/>
    <col min="18" max="18" width="11.28515625" bestFit="1" customWidth="1"/>
    <col min="19" max="19" width="14.7109375" bestFit="1" customWidth="1"/>
    <col min="20" max="20" width="11.28515625" bestFit="1" customWidth="1"/>
    <col min="21" max="21" width="14.7109375" bestFit="1" customWidth="1"/>
    <col min="22" max="22" width="11.28515625" bestFit="1" customWidth="1"/>
    <col min="23" max="23" width="14.7109375" bestFit="1" customWidth="1"/>
    <col min="24" max="24" width="11.28515625" bestFit="1" customWidth="1"/>
    <col min="25" max="25" width="14.7109375" bestFit="1" customWidth="1"/>
    <col min="26" max="26" width="11.28515625" bestFit="1" customWidth="1"/>
    <col min="27" max="27" width="14.7109375" bestFit="1" customWidth="1"/>
    <col min="28" max="28" width="11.28515625" bestFit="1" customWidth="1"/>
    <col min="29" max="29" width="14.7109375" bestFit="1" customWidth="1"/>
    <col min="30" max="30" width="12.42578125" bestFit="1" customWidth="1"/>
    <col min="31" max="31" width="16.140625" bestFit="1" customWidth="1"/>
  </cols>
  <sheetData>
    <row r="1" spans="1:31" s="216" customFormat="1" ht="22.15" customHeight="1" x14ac:dyDescent="0.25">
      <c r="A1" s="273" t="s">
        <v>126</v>
      </c>
      <c r="B1" s="274"/>
      <c r="C1" s="274"/>
      <c r="D1" s="274"/>
      <c r="E1" s="274"/>
      <c r="F1" s="274"/>
      <c r="G1" s="274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</row>
    <row r="2" spans="1:31" ht="22.15" customHeight="1" x14ac:dyDescent="0.25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</row>
    <row r="3" spans="1:31" ht="22.15" customHeight="1" x14ac:dyDescent="0.25">
      <c r="A3" s="211" t="s">
        <v>53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</row>
    <row r="4" spans="1:31" ht="20.45" customHeight="1" x14ac:dyDescent="0.25">
      <c r="A4" s="206" t="s">
        <v>54</v>
      </c>
      <c r="B4" s="217">
        <f>IRR_DPP!$L$3</f>
        <v>9128</v>
      </c>
      <c r="C4" s="207" t="s">
        <v>38</v>
      </c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</row>
    <row r="5" spans="1:31" ht="35.25" customHeight="1" x14ac:dyDescent="0.25">
      <c r="A5" s="206" t="s">
        <v>97</v>
      </c>
      <c r="B5" s="217">
        <f>IRR_DPP!$B$4</f>
        <v>1451.9894000000002</v>
      </c>
      <c r="C5" s="207" t="s">
        <v>46</v>
      </c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</row>
    <row r="6" spans="1:31" ht="20.45" customHeight="1" x14ac:dyDescent="0.25">
      <c r="A6" s="206" t="s">
        <v>56</v>
      </c>
      <c r="B6" s="218">
        <f>MAX(IRR_DPP!$A$4:$A$28)</f>
        <v>25</v>
      </c>
      <c r="C6" s="207" t="s">
        <v>40</v>
      </c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</row>
    <row r="7" spans="1:31" ht="20.45" customHeight="1" x14ac:dyDescent="0.25">
      <c r="A7" s="206" t="s">
        <v>57</v>
      </c>
      <c r="B7" s="219">
        <f>IRR_DPP!$F$4</f>
        <v>0.02</v>
      </c>
      <c r="C7" s="207" t="s">
        <v>36</v>
      </c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</row>
    <row r="8" spans="1:31" ht="20.45" customHeight="1" x14ac:dyDescent="0.25">
      <c r="A8" s="206" t="s">
        <v>58</v>
      </c>
      <c r="B8" s="219">
        <f>IRR_DPP!$L$7</f>
        <v>0.15470672654179407</v>
      </c>
      <c r="C8" s="207" t="s">
        <v>36</v>
      </c>
      <c r="D8" s="205"/>
      <c r="E8" s="205"/>
      <c r="F8" s="205"/>
      <c r="G8" s="205"/>
      <c r="H8" s="205"/>
      <c r="I8" s="205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  <c r="AD8" s="205"/>
      <c r="AE8" s="205"/>
    </row>
    <row r="9" spans="1:31" ht="20.45" customHeight="1" x14ac:dyDescent="0.25">
      <c r="A9" s="206" t="s">
        <v>41</v>
      </c>
      <c r="B9" s="218">
        <f>$B$4/$B$5</f>
        <v>6.2865472709373771</v>
      </c>
      <c r="C9" s="207" t="s">
        <v>40</v>
      </c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</row>
    <row r="10" spans="1:31" ht="20.45" customHeight="1" x14ac:dyDescent="0.25">
      <c r="A10" s="206" t="s">
        <v>59</v>
      </c>
      <c r="B10" s="218">
        <f>DPP_FromNPV(IRR_DPP!$E$3:$E$28,IRR_DPP!$A$3:$A$28,IRR_DPP!$C$3:$C$28)</f>
        <v>6.7869833666614605</v>
      </c>
      <c r="C10" s="207" t="s">
        <v>40</v>
      </c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</row>
    <row r="11" spans="1:31" ht="20.45" customHeight="1" x14ac:dyDescent="0.25">
      <c r="A11" s="205" t="s">
        <v>127</v>
      </c>
      <c r="B11" s="205">
        <f>'Απόδοση Εγκατάστασης'!$J$3</f>
        <v>0.06</v>
      </c>
      <c r="C11" s="205" t="s">
        <v>37</v>
      </c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</row>
    <row r="12" spans="1:31" ht="22.15" customHeight="1" x14ac:dyDescent="0.25">
      <c r="A12" s="205" t="s">
        <v>128</v>
      </c>
      <c r="B12" s="205">
        <f>SUM('Απόδοση Εγκατάστασης'!$H$8:$H$20)</f>
        <v>10066.490000000002</v>
      </c>
      <c r="C12" s="205" t="s">
        <v>35</v>
      </c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5"/>
    </row>
    <row r="13" spans="1:31" ht="22.15" customHeight="1" x14ac:dyDescent="0.25">
      <c r="A13" s="211" t="s">
        <v>129</v>
      </c>
      <c r="B13" s="205"/>
      <c r="C13" s="205"/>
      <c r="D13" s="205"/>
      <c r="E13" s="205"/>
      <c r="F13" s="205"/>
      <c r="G13" s="205"/>
      <c r="H13" s="205"/>
      <c r="I13" s="206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</row>
    <row r="14" spans="1:31" ht="22.15" customHeight="1" x14ac:dyDescent="0.25">
      <c r="A14" s="220" t="s">
        <v>99</v>
      </c>
      <c r="B14" s="212" t="s">
        <v>130</v>
      </c>
      <c r="C14" s="212" t="s">
        <v>20</v>
      </c>
      <c r="D14" s="212" t="s">
        <v>61</v>
      </c>
      <c r="E14" s="212" t="s">
        <v>62</v>
      </c>
      <c r="F14" s="212" t="s">
        <v>100</v>
      </c>
      <c r="G14" s="212" t="s">
        <v>64</v>
      </c>
      <c r="H14" s="221" t="s">
        <v>65</v>
      </c>
      <c r="I14" s="212" t="s">
        <v>29</v>
      </c>
      <c r="J14" s="212" t="s">
        <v>101</v>
      </c>
      <c r="K14" s="212" t="s">
        <v>102</v>
      </c>
      <c r="L14" s="212" t="s">
        <v>103</v>
      </c>
      <c r="M14" s="212" t="s">
        <v>104</v>
      </c>
      <c r="N14" s="212" t="s">
        <v>105</v>
      </c>
      <c r="O14" s="212" t="s">
        <v>106</v>
      </c>
      <c r="P14" s="212" t="s">
        <v>107</v>
      </c>
      <c r="Q14" s="212" t="s">
        <v>108</v>
      </c>
      <c r="R14" s="212" t="s">
        <v>109</v>
      </c>
      <c r="S14" s="212" t="s">
        <v>110</v>
      </c>
      <c r="T14" s="212" t="s">
        <v>111</v>
      </c>
      <c r="U14" s="212" t="s">
        <v>112</v>
      </c>
      <c r="V14" s="212" t="s">
        <v>113</v>
      </c>
      <c r="W14" s="212" t="s">
        <v>114</v>
      </c>
      <c r="X14" s="212" t="s">
        <v>115</v>
      </c>
      <c r="Y14" s="212" t="s">
        <v>116</v>
      </c>
      <c r="Z14" s="212" t="s">
        <v>117</v>
      </c>
      <c r="AA14" s="212" t="s">
        <v>118</v>
      </c>
      <c r="AB14" s="212" t="s">
        <v>119</v>
      </c>
      <c r="AC14" s="212" t="s">
        <v>120</v>
      </c>
      <c r="AD14" s="212" t="s">
        <v>121</v>
      </c>
      <c r="AE14" s="212" t="s">
        <v>122</v>
      </c>
    </row>
    <row r="15" spans="1:31" ht="22.15" customHeight="1" x14ac:dyDescent="0.25">
      <c r="A15" s="210">
        <v>0</v>
      </c>
      <c r="B15" s="209">
        <f t="shared" ref="B15:B25" si="0">$B$11*(1+$A15)</f>
        <v>0.06</v>
      </c>
      <c r="C15" s="251">
        <f t="shared" ref="C15:C25" si="1">IF($B$7=0,($B$5+$B$12*(B15-$B$11))*$B$6-$B$4,($B$5+$B$12*(B15-$B$11))*(1-(1+$B$7)^(-$B$6))/$B$7-$B$4)</f>
        <v>19219.851851008301</v>
      </c>
      <c r="D15" s="208">
        <f>DPP_FromNPV(K$15:K$40,$I$15:$I$40,J$15:J$40)</f>
        <v>6.7869833666614596</v>
      </c>
      <c r="E15" s="210">
        <f t="shared" ref="E15:E25" si="2">D15-$B$10</f>
        <v>0</v>
      </c>
      <c r="F15" s="210">
        <f t="shared" ref="F15:F25" si="3">IF($B$11=0,"",(B15-$B$11)/$B$11)</f>
        <v>0</v>
      </c>
      <c r="G15" s="208">
        <f t="shared" ref="G15:G25" si="4">IF($B$10=0,"",(D15-$B$10)/$B$10)</f>
        <v>-1.3086497663497636E-16</v>
      </c>
      <c r="H15" s="252" t="e">
        <f t="shared" ref="H15:H25" si="5">IFERROR(G15/F15,NA())</f>
        <v>#N/A</v>
      </c>
      <c r="I15" s="222">
        <v>0</v>
      </c>
      <c r="J15" s="209">
        <v>0</v>
      </c>
      <c r="K15" s="209">
        <f>-$B$4</f>
        <v>-9128</v>
      </c>
      <c r="L15" s="209">
        <v>0</v>
      </c>
      <c r="M15" s="209">
        <f>-$B$4</f>
        <v>-9128</v>
      </c>
      <c r="N15" s="209">
        <v>0</v>
      </c>
      <c r="O15" s="209">
        <f>-$B$4</f>
        <v>-9128</v>
      </c>
      <c r="P15" s="209">
        <v>0</v>
      </c>
      <c r="Q15" s="209">
        <f>-$B$4</f>
        <v>-9128</v>
      </c>
      <c r="R15" s="209">
        <v>0</v>
      </c>
      <c r="S15" s="209">
        <f>-$B$4</f>
        <v>-9128</v>
      </c>
      <c r="T15" s="209">
        <v>0</v>
      </c>
      <c r="U15" s="209">
        <f>-$B$4</f>
        <v>-9128</v>
      </c>
      <c r="V15" s="209">
        <v>0</v>
      </c>
      <c r="W15" s="209">
        <f>-$B$4</f>
        <v>-9128</v>
      </c>
      <c r="X15" s="209">
        <v>0</v>
      </c>
      <c r="Y15" s="209">
        <f>-$B$4</f>
        <v>-9128</v>
      </c>
      <c r="Z15" s="209">
        <v>0</v>
      </c>
      <c r="AA15" s="209">
        <f>-$B$4</f>
        <v>-9128</v>
      </c>
      <c r="AB15" s="209">
        <v>0</v>
      </c>
      <c r="AC15" s="209">
        <f>-$B$4</f>
        <v>-9128</v>
      </c>
      <c r="AD15" s="209">
        <v>0</v>
      </c>
      <c r="AE15" s="209">
        <f>-$B$4</f>
        <v>-9128</v>
      </c>
    </row>
    <row r="16" spans="1:31" ht="22.15" customHeight="1" x14ac:dyDescent="0.25">
      <c r="A16" s="210">
        <v>0.05</v>
      </c>
      <c r="B16" s="209">
        <f t="shared" si="0"/>
        <v>6.3E-2</v>
      </c>
      <c r="C16" s="251">
        <f t="shared" si="1"/>
        <v>19809.449889078671</v>
      </c>
      <c r="D16" s="208">
        <f>DPP_FromNPV(M$15:M$40,$I$15:$I$40,L$15:L$40)</f>
        <v>6.6398506813700013</v>
      </c>
      <c r="E16" s="210">
        <f t="shared" si="2"/>
        <v>-0.14713268529145918</v>
      </c>
      <c r="F16" s="210">
        <f t="shared" si="3"/>
        <v>5.0000000000000044E-2</v>
      </c>
      <c r="G16" s="208">
        <f t="shared" si="4"/>
        <v>-2.1678657120952138E-2</v>
      </c>
      <c r="H16" s="252">
        <f t="shared" si="5"/>
        <v>-0.43357314241904238</v>
      </c>
      <c r="I16" s="222">
        <v>1</v>
      </c>
      <c r="J16" s="209">
        <f t="shared" ref="J16:J40" si="6">($B$5+$B$12*($B$15-$B$11))/(1+$B$7)^$I16</f>
        <v>1423.5190196078433</v>
      </c>
      <c r="K16" s="209">
        <f t="shared" ref="K16:K40" si="7">K15+J16</f>
        <v>-7704.4809803921562</v>
      </c>
      <c r="L16" s="209">
        <f t="shared" ref="L16:L40" si="8">($B$5+$B$12*($B$16-$B$11))/(1+$B$7)^$I16</f>
        <v>1453.1263431372552</v>
      </c>
      <c r="M16" s="209">
        <f t="shared" ref="M16:M40" si="9">M15+L16</f>
        <v>-7674.8736568627446</v>
      </c>
      <c r="N16" s="209">
        <f t="shared" ref="N16:N40" si="10">($B$5+$B$12*($B$17-$B$11))/(1+$B$7)^$I16</f>
        <v>1482.7336666666667</v>
      </c>
      <c r="O16" s="209">
        <f t="shared" ref="O16:O40" si="11">O15+N16</f>
        <v>-7645.266333333333</v>
      </c>
      <c r="P16" s="209">
        <f t="shared" ref="P16:P40" si="12">($B$5+$B$12*($B$18-$B$11))/(1+$B$7)^$I16</f>
        <v>1512.3409901960786</v>
      </c>
      <c r="Q16" s="209">
        <f t="shared" ref="Q16:Q40" si="13">Q15+P16</f>
        <v>-7615.6590098039214</v>
      </c>
      <c r="R16" s="209">
        <f t="shared" ref="R16:R40" si="14">($B$5+$B$12*($B$19-$B$11))/(1+$B$7)^$I16</f>
        <v>1541.9483137254904</v>
      </c>
      <c r="S16" s="209">
        <f t="shared" ref="S16:S40" si="15">S15+R16</f>
        <v>-7586.0516862745098</v>
      </c>
      <c r="T16" s="209">
        <f t="shared" ref="T16:T40" si="16">($B$5+$B$12*($B$20-$B$11))/(1+$B$7)^$I16</f>
        <v>1571.5556372549022</v>
      </c>
      <c r="U16" s="209">
        <f t="shared" ref="U16:U40" si="17">U15+T16</f>
        <v>-7556.4443627450983</v>
      </c>
      <c r="V16" s="209">
        <f t="shared" ref="V16:V40" si="18">($B$5+$B$12*($B$21-$B$11))/(1+$B$7)^$I16</f>
        <v>1601.162960784314</v>
      </c>
      <c r="W16" s="209">
        <f t="shared" ref="W16:W40" si="19">W15+V16</f>
        <v>-7526.8370392156858</v>
      </c>
      <c r="X16" s="209">
        <f t="shared" ref="X16:X40" si="20">($B$5+$B$12*($B$22-$B$11))/(1+$B$7)^$I16</f>
        <v>1630.7702843137258</v>
      </c>
      <c r="Y16" s="209">
        <f t="shared" ref="Y16:Y40" si="21">Y15+X16</f>
        <v>-7497.2297156862742</v>
      </c>
      <c r="Z16" s="209">
        <f t="shared" ref="Z16:Z40" si="22">($B$5+$B$12*($B$23-$B$11))/(1+$B$7)^$I16</f>
        <v>1660.3776078431374</v>
      </c>
      <c r="AA16" s="209">
        <f t="shared" ref="AA16:AA40" si="23">AA15+Z16</f>
        <v>-7467.6223921568626</v>
      </c>
      <c r="AB16" s="209">
        <f t="shared" ref="AB16:AB40" si="24">($B$5+$B$12*($B$24-$B$11))/(1+$B$7)^$I16</f>
        <v>1689.984931372549</v>
      </c>
      <c r="AC16" s="209">
        <f t="shared" ref="AC16:AC40" si="25">AC15+AB16</f>
        <v>-7438.015068627451</v>
      </c>
      <c r="AD16" s="209">
        <f t="shared" ref="AD16:AD40" si="26">($B$5+$B$12*($B$25-$B$11))/(1+$B$7)^$I16</f>
        <v>1719.5922549019608</v>
      </c>
      <c r="AE16" s="209">
        <f t="shared" ref="AE16:AE40" si="27">AE15+AD16</f>
        <v>-7408.4077450980394</v>
      </c>
    </row>
    <row r="17" spans="1:31" ht="22.15" customHeight="1" x14ac:dyDescent="0.25">
      <c r="A17" s="210">
        <v>0.1</v>
      </c>
      <c r="B17" s="209">
        <f t="shared" si="0"/>
        <v>6.6000000000000003E-2</v>
      </c>
      <c r="C17" s="251">
        <f t="shared" si="1"/>
        <v>20399.047927149037</v>
      </c>
      <c r="D17" s="208">
        <f>DPP_FromNPV(O$15:O$40,$I$15:$I$40,N$15:N$40)</f>
        <v>6.4985939063827427</v>
      </c>
      <c r="E17" s="210">
        <f t="shared" si="2"/>
        <v>-0.28838946027871781</v>
      </c>
      <c r="F17" s="210">
        <f t="shared" si="3"/>
        <v>0.10000000000000009</v>
      </c>
      <c r="G17" s="208">
        <f t="shared" si="4"/>
        <v>-4.249155253500754E-2</v>
      </c>
      <c r="H17" s="252">
        <f t="shared" si="5"/>
        <v>-0.42491552535007504</v>
      </c>
      <c r="I17" s="222">
        <v>2</v>
      </c>
      <c r="J17" s="209">
        <f t="shared" si="6"/>
        <v>1395.6068819684738</v>
      </c>
      <c r="K17" s="209">
        <f t="shared" si="7"/>
        <v>-6308.8740984236829</v>
      </c>
      <c r="L17" s="209">
        <f t="shared" si="8"/>
        <v>1424.6336697424069</v>
      </c>
      <c r="M17" s="209">
        <f t="shared" si="9"/>
        <v>-6250.2399871203379</v>
      </c>
      <c r="N17" s="209">
        <f t="shared" si="10"/>
        <v>1453.6604575163401</v>
      </c>
      <c r="O17" s="209">
        <f t="shared" si="11"/>
        <v>-6191.6058758169929</v>
      </c>
      <c r="P17" s="209">
        <f t="shared" si="12"/>
        <v>1482.6872452902733</v>
      </c>
      <c r="Q17" s="209">
        <f t="shared" si="13"/>
        <v>-6132.9717645136479</v>
      </c>
      <c r="R17" s="209">
        <f t="shared" si="14"/>
        <v>1511.7140330642062</v>
      </c>
      <c r="S17" s="209">
        <f t="shared" si="15"/>
        <v>-6074.3376532103039</v>
      </c>
      <c r="T17" s="209">
        <f t="shared" si="16"/>
        <v>1540.7408208381394</v>
      </c>
      <c r="U17" s="209">
        <f t="shared" si="17"/>
        <v>-6015.7035419069589</v>
      </c>
      <c r="V17" s="209">
        <f t="shared" si="18"/>
        <v>1569.7676086120725</v>
      </c>
      <c r="W17" s="209">
        <f t="shared" si="19"/>
        <v>-5957.069430603613</v>
      </c>
      <c r="X17" s="209">
        <f t="shared" si="20"/>
        <v>1598.7943963860057</v>
      </c>
      <c r="Y17" s="209">
        <f t="shared" si="21"/>
        <v>-5898.435319300268</v>
      </c>
      <c r="Z17" s="209">
        <f t="shared" si="22"/>
        <v>1627.8211841599386</v>
      </c>
      <c r="AA17" s="209">
        <f t="shared" si="23"/>
        <v>-5839.8012079969239</v>
      </c>
      <c r="AB17" s="209">
        <f t="shared" si="24"/>
        <v>1656.8479719338718</v>
      </c>
      <c r="AC17" s="209">
        <f t="shared" si="25"/>
        <v>-5781.167096693579</v>
      </c>
      <c r="AD17" s="209">
        <f t="shared" si="26"/>
        <v>1685.8747597078047</v>
      </c>
      <c r="AE17" s="209">
        <f t="shared" si="27"/>
        <v>-5722.5329853902349</v>
      </c>
    </row>
    <row r="18" spans="1:31" ht="22.15" customHeight="1" x14ac:dyDescent="0.25">
      <c r="A18" s="210">
        <v>0.15</v>
      </c>
      <c r="B18" s="209">
        <f t="shared" si="0"/>
        <v>6.8999999999999992E-2</v>
      </c>
      <c r="C18" s="251">
        <f t="shared" si="1"/>
        <v>20988.645965219403</v>
      </c>
      <c r="D18" s="208">
        <f>DPP_FromNPV(Q$15:Q$40,$I$15:$I$40,P$15:P$40)</f>
        <v>6.3628679410010971</v>
      </c>
      <c r="E18" s="210">
        <f t="shared" si="2"/>
        <v>-0.42411542566036342</v>
      </c>
      <c r="F18" s="210">
        <f t="shared" si="3"/>
        <v>0.14999999999999991</v>
      </c>
      <c r="G18" s="208">
        <f t="shared" si="4"/>
        <v>-6.2489533677608997E-2</v>
      </c>
      <c r="H18" s="252">
        <f t="shared" si="5"/>
        <v>-0.41659689118406024</v>
      </c>
      <c r="I18" s="222">
        <v>3</v>
      </c>
      <c r="J18" s="209">
        <f t="shared" si="6"/>
        <v>1368.2420411455626</v>
      </c>
      <c r="K18" s="209">
        <f t="shared" si="7"/>
        <v>-4940.6320572781206</v>
      </c>
      <c r="L18" s="209">
        <f t="shared" si="8"/>
        <v>1396.6996762180461</v>
      </c>
      <c r="M18" s="209">
        <f t="shared" si="9"/>
        <v>-4853.5403109022918</v>
      </c>
      <c r="N18" s="209">
        <f t="shared" si="10"/>
        <v>1425.1573112905296</v>
      </c>
      <c r="O18" s="209">
        <f t="shared" si="11"/>
        <v>-4766.4485645264631</v>
      </c>
      <c r="P18" s="209">
        <f t="shared" si="12"/>
        <v>1453.6149463630131</v>
      </c>
      <c r="Q18" s="209">
        <f t="shared" si="13"/>
        <v>-4679.3568181506344</v>
      </c>
      <c r="R18" s="209">
        <f t="shared" si="14"/>
        <v>1482.0725814354964</v>
      </c>
      <c r="S18" s="209">
        <f t="shared" si="15"/>
        <v>-4592.2650717748074</v>
      </c>
      <c r="T18" s="209">
        <f t="shared" si="16"/>
        <v>1510.53021650798</v>
      </c>
      <c r="U18" s="209">
        <f t="shared" si="17"/>
        <v>-4505.1733253989787</v>
      </c>
      <c r="V18" s="209">
        <f t="shared" si="18"/>
        <v>1538.9878515804635</v>
      </c>
      <c r="W18" s="209">
        <f t="shared" si="19"/>
        <v>-4418.08157902315</v>
      </c>
      <c r="X18" s="209">
        <f t="shared" si="20"/>
        <v>1567.4454866529468</v>
      </c>
      <c r="Y18" s="209">
        <f t="shared" si="21"/>
        <v>-4330.9898326473212</v>
      </c>
      <c r="Z18" s="209">
        <f t="shared" si="22"/>
        <v>1595.9031217254301</v>
      </c>
      <c r="AA18" s="209">
        <f t="shared" si="23"/>
        <v>-4243.8980862714943</v>
      </c>
      <c r="AB18" s="209">
        <f t="shared" si="24"/>
        <v>1624.3607567979136</v>
      </c>
      <c r="AC18" s="209">
        <f t="shared" si="25"/>
        <v>-4156.8063398956656</v>
      </c>
      <c r="AD18" s="209">
        <f t="shared" si="26"/>
        <v>1652.8183918703969</v>
      </c>
      <c r="AE18" s="209">
        <f t="shared" si="27"/>
        <v>-4069.7145935198378</v>
      </c>
    </row>
    <row r="19" spans="1:31" ht="22.15" customHeight="1" x14ac:dyDescent="0.25">
      <c r="A19" s="210">
        <v>0.2</v>
      </c>
      <c r="B19" s="209">
        <f t="shared" si="0"/>
        <v>7.1999999999999995E-2</v>
      </c>
      <c r="C19" s="251">
        <f t="shared" si="1"/>
        <v>21578.244003289772</v>
      </c>
      <c r="D19" s="208">
        <f>DPP_FromNPV(S$15:S$40,$I$15:$I$40,R$15:R$40)</f>
        <v>6.232354189975311</v>
      </c>
      <c r="E19" s="210">
        <f t="shared" si="2"/>
        <v>-0.55462917668614953</v>
      </c>
      <c r="F19" s="210">
        <f t="shared" si="3"/>
        <v>0.19999999999999996</v>
      </c>
      <c r="G19" s="208">
        <f t="shared" si="4"/>
        <v>-8.1719542648440793E-2</v>
      </c>
      <c r="H19" s="252">
        <f t="shared" si="5"/>
        <v>-0.40859771324220406</v>
      </c>
      <c r="I19" s="222">
        <v>4</v>
      </c>
      <c r="J19" s="209">
        <f t="shared" si="6"/>
        <v>1341.4137658289828</v>
      </c>
      <c r="K19" s="209">
        <f t="shared" si="7"/>
        <v>-3599.2182914491377</v>
      </c>
      <c r="L19" s="209">
        <f t="shared" si="8"/>
        <v>1369.313408056908</v>
      </c>
      <c r="M19" s="209">
        <f t="shared" si="9"/>
        <v>-3484.2269028453838</v>
      </c>
      <c r="N19" s="209">
        <f t="shared" si="10"/>
        <v>1397.2130502848329</v>
      </c>
      <c r="O19" s="209">
        <f t="shared" si="11"/>
        <v>-3369.23551424163</v>
      </c>
      <c r="P19" s="209">
        <f t="shared" si="12"/>
        <v>1425.1126925127578</v>
      </c>
      <c r="Q19" s="209">
        <f t="shared" si="13"/>
        <v>-3254.2441256378766</v>
      </c>
      <c r="R19" s="209">
        <f t="shared" si="14"/>
        <v>1453.0123347406827</v>
      </c>
      <c r="S19" s="209">
        <f t="shared" si="15"/>
        <v>-3139.2527370341249</v>
      </c>
      <c r="T19" s="209">
        <f t="shared" si="16"/>
        <v>1480.9119769686076</v>
      </c>
      <c r="U19" s="209">
        <f t="shared" si="17"/>
        <v>-3024.2613484303711</v>
      </c>
      <c r="V19" s="209">
        <f t="shared" si="18"/>
        <v>1508.8116191965325</v>
      </c>
      <c r="W19" s="209">
        <f t="shared" si="19"/>
        <v>-2909.2699598266172</v>
      </c>
      <c r="X19" s="209">
        <f t="shared" si="20"/>
        <v>1536.7112614244577</v>
      </c>
      <c r="Y19" s="209">
        <f t="shared" si="21"/>
        <v>-2794.2785712228633</v>
      </c>
      <c r="Z19" s="209">
        <f t="shared" si="22"/>
        <v>1564.6109036523824</v>
      </c>
      <c r="AA19" s="209">
        <f t="shared" si="23"/>
        <v>-2679.2871826191122</v>
      </c>
      <c r="AB19" s="209">
        <f t="shared" si="24"/>
        <v>1592.5105458803073</v>
      </c>
      <c r="AC19" s="209">
        <f t="shared" si="25"/>
        <v>-2564.2957940153583</v>
      </c>
      <c r="AD19" s="209">
        <f t="shared" si="26"/>
        <v>1620.4101881082322</v>
      </c>
      <c r="AE19" s="209">
        <f t="shared" si="27"/>
        <v>-2449.3044054116053</v>
      </c>
    </row>
    <row r="20" spans="1:31" ht="22.15" customHeight="1" x14ac:dyDescent="0.25">
      <c r="A20" s="210">
        <v>0.25</v>
      </c>
      <c r="B20" s="209">
        <f t="shared" si="0"/>
        <v>7.4999999999999997E-2</v>
      </c>
      <c r="C20" s="251">
        <f t="shared" si="1"/>
        <v>22167.842041360138</v>
      </c>
      <c r="D20" s="208">
        <f>DPP_FromNPV(U$15:U$40,$I$15:$I$40,T$15:T$40)</f>
        <v>6.1067580667573527</v>
      </c>
      <c r="E20" s="210">
        <f t="shared" si="2"/>
        <v>-0.68022529990410785</v>
      </c>
      <c r="F20" s="210">
        <f t="shared" si="3"/>
        <v>0.25</v>
      </c>
      <c r="G20" s="208">
        <f t="shared" si="4"/>
        <v>-0.10022498408430798</v>
      </c>
      <c r="H20" s="252">
        <f t="shared" si="5"/>
        <v>-0.40089993633723192</v>
      </c>
      <c r="I20" s="222">
        <v>5</v>
      </c>
      <c r="J20" s="209">
        <f t="shared" si="6"/>
        <v>1315.1115351264539</v>
      </c>
      <c r="K20" s="209">
        <f t="shared" si="7"/>
        <v>-2284.1067563226839</v>
      </c>
      <c r="L20" s="209">
        <f t="shared" si="8"/>
        <v>1342.4641255459881</v>
      </c>
      <c r="M20" s="209">
        <f t="shared" si="9"/>
        <v>-2141.7627772993956</v>
      </c>
      <c r="N20" s="209">
        <f t="shared" si="10"/>
        <v>1369.8167159655222</v>
      </c>
      <c r="O20" s="209">
        <f t="shared" si="11"/>
        <v>-1999.4187982761077</v>
      </c>
      <c r="P20" s="209">
        <f t="shared" si="12"/>
        <v>1397.1693063850566</v>
      </c>
      <c r="Q20" s="209">
        <f t="shared" si="13"/>
        <v>-1857.0748192528199</v>
      </c>
      <c r="R20" s="209">
        <f t="shared" si="14"/>
        <v>1424.5218968045908</v>
      </c>
      <c r="S20" s="209">
        <f t="shared" si="15"/>
        <v>-1714.7308402295341</v>
      </c>
      <c r="T20" s="209">
        <f t="shared" si="16"/>
        <v>1451.8744872241252</v>
      </c>
      <c r="U20" s="209">
        <f t="shared" si="17"/>
        <v>-1572.3868612062458</v>
      </c>
      <c r="V20" s="209">
        <f t="shared" si="18"/>
        <v>1479.2270776436594</v>
      </c>
      <c r="W20" s="209">
        <f t="shared" si="19"/>
        <v>-1430.0428821829578</v>
      </c>
      <c r="X20" s="209">
        <f t="shared" si="20"/>
        <v>1506.5796680631936</v>
      </c>
      <c r="Y20" s="209">
        <f t="shared" si="21"/>
        <v>-1287.6989031596697</v>
      </c>
      <c r="Z20" s="209">
        <f t="shared" si="22"/>
        <v>1533.9322584827278</v>
      </c>
      <c r="AA20" s="209">
        <f t="shared" si="23"/>
        <v>-1145.3549241363844</v>
      </c>
      <c r="AB20" s="209">
        <f t="shared" si="24"/>
        <v>1561.284848902262</v>
      </c>
      <c r="AC20" s="209">
        <f t="shared" si="25"/>
        <v>-1003.0109451130963</v>
      </c>
      <c r="AD20" s="209">
        <f t="shared" si="26"/>
        <v>1588.6374393217964</v>
      </c>
      <c r="AE20" s="209">
        <f t="shared" si="27"/>
        <v>-860.66696608980897</v>
      </c>
    </row>
    <row r="21" spans="1:31" ht="22.15" customHeight="1" x14ac:dyDescent="0.25">
      <c r="A21" s="210">
        <v>0.3</v>
      </c>
      <c r="B21" s="209">
        <f t="shared" si="0"/>
        <v>7.8E-2</v>
      </c>
      <c r="C21" s="251">
        <f t="shared" si="1"/>
        <v>22757.440079430504</v>
      </c>
      <c r="D21" s="208">
        <f>DPP_FromNPV(W$15:W$40,$I$15:$I$40,V$15:V$40)</f>
        <v>5.9860850723136902</v>
      </c>
      <c r="E21" s="210">
        <f t="shared" si="2"/>
        <v>-0.80089829434777027</v>
      </c>
      <c r="F21" s="210">
        <f t="shared" si="3"/>
        <v>0.30000000000000004</v>
      </c>
      <c r="G21" s="208">
        <f t="shared" si="4"/>
        <v>-0.11800504746805278</v>
      </c>
      <c r="H21" s="252">
        <f t="shared" si="5"/>
        <v>-0.39335015822684255</v>
      </c>
      <c r="I21" s="222">
        <v>6</v>
      </c>
      <c r="J21" s="209">
        <f t="shared" si="6"/>
        <v>1289.3250344376997</v>
      </c>
      <c r="K21" s="209">
        <f t="shared" si="7"/>
        <v>-994.78172188498411</v>
      </c>
      <c r="L21" s="209">
        <f t="shared" si="8"/>
        <v>1316.1412995548901</v>
      </c>
      <c r="M21" s="209">
        <f t="shared" si="9"/>
        <v>-825.62147774450546</v>
      </c>
      <c r="N21" s="209">
        <f t="shared" si="10"/>
        <v>1342.9575646720807</v>
      </c>
      <c r="O21" s="209">
        <f t="shared" si="11"/>
        <v>-656.46123360402703</v>
      </c>
      <c r="P21" s="209">
        <f t="shared" si="12"/>
        <v>1369.7738297892711</v>
      </c>
      <c r="Q21" s="209">
        <f t="shared" si="13"/>
        <v>-487.30098946354883</v>
      </c>
      <c r="R21" s="209">
        <f t="shared" si="14"/>
        <v>1396.5900949064617</v>
      </c>
      <c r="S21" s="209">
        <f t="shared" si="15"/>
        <v>-318.14074532307245</v>
      </c>
      <c r="T21" s="209">
        <f t="shared" si="16"/>
        <v>1423.406360023652</v>
      </c>
      <c r="U21" s="209">
        <f t="shared" si="17"/>
        <v>-148.9805011825938</v>
      </c>
      <c r="V21" s="209">
        <f t="shared" si="18"/>
        <v>1450.2226251408424</v>
      </c>
      <c r="W21" s="209">
        <f t="shared" si="19"/>
        <v>20.179742957884628</v>
      </c>
      <c r="X21" s="209">
        <f t="shared" si="20"/>
        <v>1477.038890258033</v>
      </c>
      <c r="Y21" s="209">
        <f t="shared" si="21"/>
        <v>189.33998709836328</v>
      </c>
      <c r="Z21" s="209">
        <f t="shared" si="22"/>
        <v>1503.8551553752231</v>
      </c>
      <c r="AA21" s="209">
        <f t="shared" si="23"/>
        <v>358.50023123883875</v>
      </c>
      <c r="AB21" s="209">
        <f t="shared" si="24"/>
        <v>1530.6714204924137</v>
      </c>
      <c r="AC21" s="209">
        <f t="shared" si="25"/>
        <v>527.6604753793174</v>
      </c>
      <c r="AD21" s="209">
        <f t="shared" si="26"/>
        <v>1557.4876856096041</v>
      </c>
      <c r="AE21" s="209">
        <f t="shared" si="27"/>
        <v>696.82071951979515</v>
      </c>
    </row>
    <row r="22" spans="1:31" ht="22.15" customHeight="1" x14ac:dyDescent="0.25">
      <c r="A22" s="210">
        <v>0.35</v>
      </c>
      <c r="B22" s="209">
        <f t="shared" si="0"/>
        <v>8.1000000000000003E-2</v>
      </c>
      <c r="C22" s="251">
        <f t="shared" si="1"/>
        <v>23347.038117500873</v>
      </c>
      <c r="D22" s="208">
        <f>DPP_FromNPV(Y$15:Y$40,$I$15:$I$40,X$15:X$40)</f>
        <v>5.8718111023703061</v>
      </c>
      <c r="E22" s="210">
        <f t="shared" si="2"/>
        <v>-0.91517226429115439</v>
      </c>
      <c r="F22" s="210">
        <f t="shared" si="3"/>
        <v>0.35000000000000009</v>
      </c>
      <c r="G22" s="208">
        <f t="shared" si="4"/>
        <v>-0.13484227304675578</v>
      </c>
      <c r="H22" s="252">
        <f t="shared" si="5"/>
        <v>-0.38526363727644497</v>
      </c>
      <c r="I22" s="222">
        <v>7</v>
      </c>
      <c r="J22" s="209">
        <f t="shared" si="6"/>
        <v>1264.0441514095098</v>
      </c>
      <c r="K22" s="209">
        <f t="shared" si="7"/>
        <v>269.26242952452571</v>
      </c>
      <c r="L22" s="209">
        <f t="shared" si="8"/>
        <v>1290.3346074067554</v>
      </c>
      <c r="M22" s="209">
        <f t="shared" si="9"/>
        <v>464.71312966224991</v>
      </c>
      <c r="N22" s="209">
        <f t="shared" si="10"/>
        <v>1316.6250634040009</v>
      </c>
      <c r="O22" s="209">
        <f t="shared" si="11"/>
        <v>660.16382979997388</v>
      </c>
      <c r="P22" s="209">
        <f t="shared" si="12"/>
        <v>1342.9155194012465</v>
      </c>
      <c r="Q22" s="209">
        <f t="shared" si="13"/>
        <v>855.61452993769763</v>
      </c>
      <c r="R22" s="209">
        <f t="shared" si="14"/>
        <v>1369.205975398492</v>
      </c>
      <c r="S22" s="209">
        <f t="shared" si="15"/>
        <v>1051.0652300754195</v>
      </c>
      <c r="T22" s="209">
        <f t="shared" si="16"/>
        <v>1395.4964313957375</v>
      </c>
      <c r="U22" s="209">
        <f t="shared" si="17"/>
        <v>1246.5159302131437</v>
      </c>
      <c r="V22" s="209">
        <f t="shared" si="18"/>
        <v>1421.7868873929831</v>
      </c>
      <c r="W22" s="209">
        <f t="shared" si="19"/>
        <v>1441.9666303508677</v>
      </c>
      <c r="X22" s="209">
        <f t="shared" si="20"/>
        <v>1448.0773433902286</v>
      </c>
      <c r="Y22" s="209">
        <f t="shared" si="21"/>
        <v>1637.4173304885919</v>
      </c>
      <c r="Z22" s="209">
        <f t="shared" si="22"/>
        <v>1474.367799387474</v>
      </c>
      <c r="AA22" s="209">
        <f t="shared" si="23"/>
        <v>1832.8680306263127</v>
      </c>
      <c r="AB22" s="209">
        <f t="shared" si="24"/>
        <v>1500.6582553847197</v>
      </c>
      <c r="AC22" s="209">
        <f t="shared" si="25"/>
        <v>2028.3187307640371</v>
      </c>
      <c r="AD22" s="209">
        <f t="shared" si="26"/>
        <v>1526.9487113819653</v>
      </c>
      <c r="AE22" s="209">
        <f t="shared" si="27"/>
        <v>2223.7694309017606</v>
      </c>
    </row>
    <row r="23" spans="1:31" ht="22.15" customHeight="1" x14ac:dyDescent="0.25">
      <c r="A23" s="210">
        <v>0.4</v>
      </c>
      <c r="B23" s="209">
        <f t="shared" si="0"/>
        <v>8.3999999999999991E-2</v>
      </c>
      <c r="C23" s="251">
        <f t="shared" si="1"/>
        <v>23936.636155571236</v>
      </c>
      <c r="D23" s="208">
        <f>DPP_FromNPV(AA$15:AA$40,$I$15:$I$40,Z$15:Z$40)</f>
        <v>5.7616125263410822</v>
      </c>
      <c r="E23" s="210">
        <f t="shared" si="2"/>
        <v>-1.0253708403203783</v>
      </c>
      <c r="F23" s="210">
        <f t="shared" si="3"/>
        <v>0.39999999999999991</v>
      </c>
      <c r="G23" s="208">
        <f t="shared" si="4"/>
        <v>-0.15107902656092137</v>
      </c>
      <c r="H23" s="252">
        <f t="shared" si="5"/>
        <v>-0.37769756640230351</v>
      </c>
      <c r="I23" s="222">
        <v>8</v>
      </c>
      <c r="J23" s="209">
        <f t="shared" si="6"/>
        <v>1239.2589719701075</v>
      </c>
      <c r="K23" s="209">
        <f t="shared" si="7"/>
        <v>1508.5214014946332</v>
      </c>
      <c r="L23" s="209">
        <f t="shared" si="8"/>
        <v>1265.0339288301523</v>
      </c>
      <c r="M23" s="209">
        <f t="shared" si="9"/>
        <v>1729.7470584924022</v>
      </c>
      <c r="N23" s="209">
        <f t="shared" si="10"/>
        <v>1290.8088856901968</v>
      </c>
      <c r="O23" s="209">
        <f t="shared" si="11"/>
        <v>1950.9727154901707</v>
      </c>
      <c r="P23" s="209">
        <f t="shared" si="12"/>
        <v>1316.5838425502416</v>
      </c>
      <c r="Q23" s="209">
        <f t="shared" si="13"/>
        <v>2172.1983724879392</v>
      </c>
      <c r="R23" s="209">
        <f t="shared" si="14"/>
        <v>1342.3587994102861</v>
      </c>
      <c r="S23" s="209">
        <f t="shared" si="15"/>
        <v>2393.4240294857054</v>
      </c>
      <c r="T23" s="209">
        <f t="shared" si="16"/>
        <v>1368.1337562703309</v>
      </c>
      <c r="U23" s="209">
        <f t="shared" si="17"/>
        <v>2614.6496864834744</v>
      </c>
      <c r="V23" s="209">
        <f t="shared" si="18"/>
        <v>1393.9087131303754</v>
      </c>
      <c r="W23" s="209">
        <f t="shared" si="19"/>
        <v>2835.8753434812434</v>
      </c>
      <c r="X23" s="209">
        <f t="shared" si="20"/>
        <v>1419.6836699904202</v>
      </c>
      <c r="Y23" s="209">
        <f t="shared" si="21"/>
        <v>3057.1010004790123</v>
      </c>
      <c r="Z23" s="209">
        <f t="shared" si="22"/>
        <v>1445.4586268504647</v>
      </c>
      <c r="AA23" s="209">
        <f t="shared" si="23"/>
        <v>3278.3266574767777</v>
      </c>
      <c r="AB23" s="209">
        <f t="shared" si="24"/>
        <v>1471.2335837105093</v>
      </c>
      <c r="AC23" s="209">
        <f t="shared" si="25"/>
        <v>3499.5523144745466</v>
      </c>
      <c r="AD23" s="209">
        <f t="shared" si="26"/>
        <v>1497.008540570554</v>
      </c>
      <c r="AE23" s="209">
        <f t="shared" si="27"/>
        <v>3720.7779714723147</v>
      </c>
    </row>
    <row r="24" spans="1:31" ht="22.15" customHeight="1" x14ac:dyDescent="0.25">
      <c r="A24" s="214">
        <v>0.45</v>
      </c>
      <c r="B24" s="209">
        <f t="shared" si="0"/>
        <v>8.6999999999999994E-2</v>
      </c>
      <c r="C24" s="251">
        <f t="shared" si="1"/>
        <v>24526.234193641605</v>
      </c>
      <c r="D24" s="208">
        <f>DPP_FromNPV(AC$15:AC$40,$I$15:$I$40,AB$15:AB$40)</f>
        <v>5.6552751502934768</v>
      </c>
      <c r="E24" s="210">
        <f t="shared" si="2"/>
        <v>-1.1317082163679837</v>
      </c>
      <c r="F24" s="210">
        <f t="shared" si="3"/>
        <v>0.44999999999999996</v>
      </c>
      <c r="G24" s="208">
        <f t="shared" si="4"/>
        <v>-0.16674686752984849</v>
      </c>
      <c r="H24" s="252">
        <f t="shared" si="5"/>
        <v>-0.37054859451077449</v>
      </c>
      <c r="I24" s="222">
        <v>9</v>
      </c>
      <c r="J24" s="209">
        <f t="shared" si="6"/>
        <v>1214.959776441282</v>
      </c>
      <c r="K24" s="209">
        <f t="shared" si="7"/>
        <v>2723.4811779359152</v>
      </c>
      <c r="L24" s="209">
        <f t="shared" si="8"/>
        <v>1240.2293419903453</v>
      </c>
      <c r="M24" s="209">
        <f t="shared" si="9"/>
        <v>2969.9764004827475</v>
      </c>
      <c r="N24" s="209">
        <f t="shared" si="10"/>
        <v>1265.4989075394087</v>
      </c>
      <c r="O24" s="209">
        <f t="shared" si="11"/>
        <v>3216.4716230295794</v>
      </c>
      <c r="P24" s="209">
        <f t="shared" si="12"/>
        <v>1290.7684730884721</v>
      </c>
      <c r="Q24" s="209">
        <f t="shared" si="13"/>
        <v>3462.9668455764113</v>
      </c>
      <c r="R24" s="209">
        <f t="shared" si="14"/>
        <v>1316.0380386375355</v>
      </c>
      <c r="S24" s="209">
        <f t="shared" si="15"/>
        <v>3709.4620681232409</v>
      </c>
      <c r="T24" s="209">
        <f t="shared" si="16"/>
        <v>1341.3076041865988</v>
      </c>
      <c r="U24" s="209">
        <f t="shared" si="17"/>
        <v>3955.9572906700732</v>
      </c>
      <c r="V24" s="209">
        <f t="shared" si="18"/>
        <v>1366.5771697356622</v>
      </c>
      <c r="W24" s="209">
        <f t="shared" si="19"/>
        <v>4202.4525132169056</v>
      </c>
      <c r="X24" s="209">
        <f t="shared" si="20"/>
        <v>1391.8467352847256</v>
      </c>
      <c r="Y24" s="209">
        <f t="shared" si="21"/>
        <v>4448.9477357637379</v>
      </c>
      <c r="Z24" s="209">
        <f t="shared" si="22"/>
        <v>1417.116300833789</v>
      </c>
      <c r="AA24" s="209">
        <f t="shared" si="23"/>
        <v>4695.4429583105666</v>
      </c>
      <c r="AB24" s="209">
        <f t="shared" si="24"/>
        <v>1442.3858663828523</v>
      </c>
      <c r="AC24" s="209">
        <f t="shared" si="25"/>
        <v>4941.9381808573989</v>
      </c>
      <c r="AD24" s="209">
        <f t="shared" si="26"/>
        <v>1467.6554319319157</v>
      </c>
      <c r="AE24" s="209">
        <f t="shared" si="27"/>
        <v>5188.4334034042304</v>
      </c>
    </row>
    <row r="25" spans="1:31" ht="22.15" customHeight="1" x14ac:dyDescent="0.25">
      <c r="A25" s="210">
        <v>0.5</v>
      </c>
      <c r="B25" s="209">
        <f t="shared" si="0"/>
        <v>0.09</v>
      </c>
      <c r="C25" s="251">
        <f t="shared" si="1"/>
        <v>25115.832231711975</v>
      </c>
      <c r="D25" s="208">
        <f>DPP_FromNPV(AE$15:AE$40,$I$15:$I$40,AD$15:AD$40)</f>
        <v>5.5525995319526027</v>
      </c>
      <c r="E25" s="210">
        <f t="shared" si="2"/>
        <v>-1.2343838347088578</v>
      </c>
      <c r="F25" s="210">
        <f t="shared" si="3"/>
        <v>0.5</v>
      </c>
      <c r="G25" s="208">
        <f t="shared" si="4"/>
        <v>-0.18187518195083707</v>
      </c>
      <c r="H25" s="252">
        <f t="shared" si="5"/>
        <v>-0.36375036390167415</v>
      </c>
      <c r="I25" s="222">
        <v>10</v>
      </c>
      <c r="J25" s="209">
        <f t="shared" si="6"/>
        <v>1191.1370357267469</v>
      </c>
      <c r="K25" s="209">
        <f t="shared" si="7"/>
        <v>3914.6182136626621</v>
      </c>
      <c r="L25" s="209">
        <f t="shared" si="8"/>
        <v>1215.9111195983778</v>
      </c>
      <c r="M25" s="209">
        <f t="shared" si="9"/>
        <v>4185.8875200811253</v>
      </c>
      <c r="N25" s="209">
        <f t="shared" si="10"/>
        <v>1240.6852034700084</v>
      </c>
      <c r="O25" s="209">
        <f t="shared" si="11"/>
        <v>4457.1568264995876</v>
      </c>
      <c r="P25" s="209">
        <f t="shared" si="12"/>
        <v>1265.4592873416393</v>
      </c>
      <c r="Q25" s="209">
        <f t="shared" si="13"/>
        <v>4728.4261329180508</v>
      </c>
      <c r="R25" s="209">
        <f t="shared" si="14"/>
        <v>1290.2333712132699</v>
      </c>
      <c r="S25" s="209">
        <f t="shared" si="15"/>
        <v>4999.6954393365104</v>
      </c>
      <c r="T25" s="209">
        <f t="shared" si="16"/>
        <v>1315.0074550849008</v>
      </c>
      <c r="U25" s="209">
        <f t="shared" si="17"/>
        <v>5270.9647457549745</v>
      </c>
      <c r="V25" s="209">
        <f t="shared" si="18"/>
        <v>1339.7815389565317</v>
      </c>
      <c r="W25" s="209">
        <f t="shared" si="19"/>
        <v>5542.2340521734368</v>
      </c>
      <c r="X25" s="209">
        <f t="shared" si="20"/>
        <v>1364.5556228281623</v>
      </c>
      <c r="Y25" s="209">
        <f t="shared" si="21"/>
        <v>5813.5033585919</v>
      </c>
      <c r="Z25" s="209">
        <f t="shared" si="22"/>
        <v>1389.329706699793</v>
      </c>
      <c r="AA25" s="209">
        <f t="shared" si="23"/>
        <v>6084.7726650103596</v>
      </c>
      <c r="AB25" s="209">
        <f t="shared" si="24"/>
        <v>1414.1037905714236</v>
      </c>
      <c r="AC25" s="209">
        <f t="shared" si="25"/>
        <v>6356.0419714288228</v>
      </c>
      <c r="AD25" s="209">
        <f t="shared" si="26"/>
        <v>1438.8778744430545</v>
      </c>
      <c r="AE25" s="209">
        <f t="shared" si="27"/>
        <v>6627.3112778472851</v>
      </c>
    </row>
    <row r="26" spans="1:31" ht="22.15" customHeight="1" x14ac:dyDescent="0.25">
      <c r="A26" s="205"/>
      <c r="B26" s="205"/>
      <c r="C26" s="205"/>
      <c r="D26" s="205"/>
      <c r="E26" s="205"/>
      <c r="F26" s="205"/>
      <c r="G26" s="205"/>
      <c r="H26" s="205"/>
      <c r="I26" s="222">
        <v>11</v>
      </c>
      <c r="J26" s="209">
        <f t="shared" si="6"/>
        <v>1167.7814075752424</v>
      </c>
      <c r="K26" s="209">
        <f t="shared" si="7"/>
        <v>5082.3996212379043</v>
      </c>
      <c r="L26" s="209">
        <f t="shared" si="8"/>
        <v>1192.069725096449</v>
      </c>
      <c r="M26" s="209">
        <f t="shared" si="9"/>
        <v>5377.9572451775748</v>
      </c>
      <c r="N26" s="209">
        <f t="shared" si="10"/>
        <v>1216.3580426176557</v>
      </c>
      <c r="O26" s="209">
        <f t="shared" si="11"/>
        <v>5673.5148691172435</v>
      </c>
      <c r="P26" s="209">
        <f t="shared" si="12"/>
        <v>1240.6463601388623</v>
      </c>
      <c r="Q26" s="209">
        <f t="shared" si="13"/>
        <v>5969.0724930569131</v>
      </c>
      <c r="R26" s="209">
        <f t="shared" si="14"/>
        <v>1264.9346776600689</v>
      </c>
      <c r="S26" s="209">
        <f t="shared" si="15"/>
        <v>6264.6301169965791</v>
      </c>
      <c r="T26" s="209">
        <f t="shared" si="16"/>
        <v>1289.2229951812756</v>
      </c>
      <c r="U26" s="209">
        <f t="shared" si="17"/>
        <v>6560.1877409362496</v>
      </c>
      <c r="V26" s="209">
        <f t="shared" si="18"/>
        <v>1313.5113127024822</v>
      </c>
      <c r="W26" s="209">
        <f t="shared" si="19"/>
        <v>6855.7453648759192</v>
      </c>
      <c r="X26" s="209">
        <f t="shared" si="20"/>
        <v>1337.7996302236888</v>
      </c>
      <c r="Y26" s="209">
        <f t="shared" si="21"/>
        <v>7151.3029888155888</v>
      </c>
      <c r="Z26" s="209">
        <f t="shared" si="22"/>
        <v>1362.0879477448952</v>
      </c>
      <c r="AA26" s="209">
        <f t="shared" si="23"/>
        <v>7446.8606127552548</v>
      </c>
      <c r="AB26" s="209">
        <f t="shared" si="24"/>
        <v>1386.3762652661019</v>
      </c>
      <c r="AC26" s="209">
        <f t="shared" si="25"/>
        <v>7742.4182366949244</v>
      </c>
      <c r="AD26" s="209">
        <f t="shared" si="26"/>
        <v>1410.6645827873085</v>
      </c>
      <c r="AE26" s="209">
        <f t="shared" si="27"/>
        <v>8037.9758606345931</v>
      </c>
    </row>
    <row r="27" spans="1:31" ht="22.15" customHeight="1" x14ac:dyDescent="0.25">
      <c r="A27" s="213"/>
      <c r="B27" s="205"/>
      <c r="C27" s="205"/>
      <c r="D27" s="205"/>
      <c r="E27" s="205"/>
      <c r="F27" s="205"/>
      <c r="G27" s="205"/>
      <c r="H27" s="205"/>
      <c r="I27" s="222">
        <v>12</v>
      </c>
      <c r="J27" s="209">
        <f t="shared" si="6"/>
        <v>1144.8837329169041</v>
      </c>
      <c r="K27" s="209">
        <f t="shared" si="7"/>
        <v>6227.283354154808</v>
      </c>
      <c r="L27" s="209">
        <f t="shared" si="8"/>
        <v>1168.6958089180871</v>
      </c>
      <c r="M27" s="209">
        <f t="shared" si="9"/>
        <v>6546.6530540956619</v>
      </c>
      <c r="N27" s="209">
        <f t="shared" si="10"/>
        <v>1192.5078849192701</v>
      </c>
      <c r="O27" s="209">
        <f t="shared" si="11"/>
        <v>6866.022754036514</v>
      </c>
      <c r="P27" s="209">
        <f t="shared" si="12"/>
        <v>1216.319960920453</v>
      </c>
      <c r="Q27" s="209">
        <f t="shared" si="13"/>
        <v>7185.3924539773661</v>
      </c>
      <c r="R27" s="209">
        <f t="shared" si="14"/>
        <v>1240.132036921636</v>
      </c>
      <c r="S27" s="209">
        <f t="shared" si="15"/>
        <v>7504.7621539182146</v>
      </c>
      <c r="T27" s="209">
        <f t="shared" si="16"/>
        <v>1263.9441129228189</v>
      </c>
      <c r="U27" s="209">
        <f t="shared" si="17"/>
        <v>7824.1318538590685</v>
      </c>
      <c r="V27" s="209">
        <f t="shared" si="18"/>
        <v>1287.7561889240019</v>
      </c>
      <c r="W27" s="209">
        <f t="shared" si="19"/>
        <v>8143.5015537999207</v>
      </c>
      <c r="X27" s="209">
        <f t="shared" si="20"/>
        <v>1311.5682649251848</v>
      </c>
      <c r="Y27" s="209">
        <f t="shared" si="21"/>
        <v>8462.8712537407737</v>
      </c>
      <c r="Z27" s="209">
        <f t="shared" si="22"/>
        <v>1335.3803409263678</v>
      </c>
      <c r="AA27" s="209">
        <f t="shared" si="23"/>
        <v>8782.2409536816231</v>
      </c>
      <c r="AB27" s="209">
        <f t="shared" si="24"/>
        <v>1359.1924169275508</v>
      </c>
      <c r="AC27" s="209">
        <f t="shared" si="25"/>
        <v>9101.6106536224761</v>
      </c>
      <c r="AD27" s="209">
        <f t="shared" si="26"/>
        <v>1383.0044929287337</v>
      </c>
      <c r="AE27" s="209">
        <f t="shared" si="27"/>
        <v>9420.9803535633273</v>
      </c>
    </row>
    <row r="28" spans="1:31" ht="22.15" customHeight="1" x14ac:dyDescent="0.25">
      <c r="A28" s="205"/>
      <c r="B28" s="205"/>
      <c r="C28" s="205"/>
      <c r="D28" s="205"/>
      <c r="E28" s="205"/>
      <c r="F28" s="205"/>
      <c r="G28" s="205"/>
      <c r="H28" s="205"/>
      <c r="I28" s="222">
        <v>13</v>
      </c>
      <c r="J28" s="209">
        <f t="shared" si="6"/>
        <v>1122.4350322714747</v>
      </c>
      <c r="K28" s="209">
        <f t="shared" si="7"/>
        <v>7349.7183864262824</v>
      </c>
      <c r="L28" s="209">
        <f t="shared" si="8"/>
        <v>1145.780204821654</v>
      </c>
      <c r="M28" s="209">
        <f t="shared" si="9"/>
        <v>7692.4332589173155</v>
      </c>
      <c r="N28" s="209">
        <f t="shared" si="10"/>
        <v>1169.1253773718333</v>
      </c>
      <c r="O28" s="209">
        <f t="shared" si="11"/>
        <v>8035.1481314083476</v>
      </c>
      <c r="P28" s="209">
        <f t="shared" si="12"/>
        <v>1192.4705499220129</v>
      </c>
      <c r="Q28" s="209">
        <f t="shared" si="13"/>
        <v>8377.8630038993797</v>
      </c>
      <c r="R28" s="209">
        <f t="shared" si="14"/>
        <v>1215.8157224721922</v>
      </c>
      <c r="S28" s="209">
        <f t="shared" si="15"/>
        <v>8720.5778763904073</v>
      </c>
      <c r="T28" s="209">
        <f t="shared" si="16"/>
        <v>1239.1608950223715</v>
      </c>
      <c r="U28" s="209">
        <f t="shared" si="17"/>
        <v>9063.2927488814403</v>
      </c>
      <c r="V28" s="209">
        <f t="shared" si="18"/>
        <v>1262.506067572551</v>
      </c>
      <c r="W28" s="209">
        <f t="shared" si="19"/>
        <v>9406.0076213724715</v>
      </c>
      <c r="X28" s="209">
        <f t="shared" si="20"/>
        <v>1285.8512401227304</v>
      </c>
      <c r="Y28" s="209">
        <f t="shared" si="21"/>
        <v>9748.7224938635045</v>
      </c>
      <c r="Z28" s="209">
        <f t="shared" si="22"/>
        <v>1309.1964126729097</v>
      </c>
      <c r="AA28" s="209">
        <f t="shared" si="23"/>
        <v>10091.437366354532</v>
      </c>
      <c r="AB28" s="209">
        <f t="shared" si="24"/>
        <v>1332.541585223089</v>
      </c>
      <c r="AC28" s="209">
        <f t="shared" si="25"/>
        <v>10434.152238845565</v>
      </c>
      <c r="AD28" s="209">
        <f t="shared" si="26"/>
        <v>1355.8867577732683</v>
      </c>
      <c r="AE28" s="209">
        <f t="shared" si="27"/>
        <v>10776.867111336596</v>
      </c>
    </row>
    <row r="29" spans="1:31" ht="22.15" customHeight="1" x14ac:dyDescent="0.25">
      <c r="A29" s="205"/>
      <c r="B29" s="205"/>
      <c r="C29" s="205"/>
      <c r="D29" s="205"/>
      <c r="E29" s="205"/>
      <c r="F29" s="205"/>
      <c r="G29" s="205"/>
      <c r="H29" s="205"/>
      <c r="I29" s="222">
        <v>14</v>
      </c>
      <c r="J29" s="209">
        <f t="shared" si="6"/>
        <v>1100.4265022269358</v>
      </c>
      <c r="K29" s="209">
        <f t="shared" si="7"/>
        <v>8450.144888653218</v>
      </c>
      <c r="L29" s="209">
        <f t="shared" si="8"/>
        <v>1123.3139262957391</v>
      </c>
      <c r="M29" s="209">
        <f t="shared" si="9"/>
        <v>8815.7471852130548</v>
      </c>
      <c r="N29" s="209">
        <f t="shared" si="10"/>
        <v>1146.2013503645423</v>
      </c>
      <c r="O29" s="209">
        <f t="shared" si="11"/>
        <v>9181.3494817728897</v>
      </c>
      <c r="P29" s="209">
        <f t="shared" si="12"/>
        <v>1169.0887744333459</v>
      </c>
      <c r="Q29" s="209">
        <f t="shared" si="13"/>
        <v>9546.9517783327246</v>
      </c>
      <c r="R29" s="209">
        <f t="shared" si="14"/>
        <v>1191.9761985021491</v>
      </c>
      <c r="S29" s="209">
        <f t="shared" si="15"/>
        <v>9912.5540748925559</v>
      </c>
      <c r="T29" s="209">
        <f t="shared" si="16"/>
        <v>1214.8636225709524</v>
      </c>
      <c r="U29" s="209">
        <f t="shared" si="17"/>
        <v>10278.156371452393</v>
      </c>
      <c r="V29" s="209">
        <f t="shared" si="18"/>
        <v>1237.7510466397557</v>
      </c>
      <c r="W29" s="209">
        <f t="shared" si="19"/>
        <v>10643.758668012228</v>
      </c>
      <c r="X29" s="209">
        <f t="shared" si="20"/>
        <v>1260.638470708559</v>
      </c>
      <c r="Y29" s="209">
        <f t="shared" si="21"/>
        <v>11009.360964572064</v>
      </c>
      <c r="Z29" s="209">
        <f t="shared" si="22"/>
        <v>1283.5258947773623</v>
      </c>
      <c r="AA29" s="209">
        <f t="shared" si="23"/>
        <v>11374.963261131894</v>
      </c>
      <c r="AB29" s="209">
        <f t="shared" si="24"/>
        <v>1306.4133188461656</v>
      </c>
      <c r="AC29" s="209">
        <f t="shared" si="25"/>
        <v>11740.565557691731</v>
      </c>
      <c r="AD29" s="209">
        <f t="shared" si="26"/>
        <v>1329.3007429149689</v>
      </c>
      <c r="AE29" s="209">
        <f t="shared" si="27"/>
        <v>12106.167854251566</v>
      </c>
    </row>
    <row r="30" spans="1:31" ht="22.15" customHeight="1" x14ac:dyDescent="0.25">
      <c r="A30" s="211" t="s">
        <v>88</v>
      </c>
      <c r="B30" s="205"/>
      <c r="C30" s="205"/>
      <c r="D30" s="205"/>
      <c r="E30" s="205"/>
      <c r="F30" s="205"/>
      <c r="G30" s="205"/>
      <c r="H30" s="205"/>
      <c r="I30" s="222">
        <v>15</v>
      </c>
      <c r="J30" s="209">
        <f t="shared" si="6"/>
        <v>1078.8495119871923</v>
      </c>
      <c r="K30" s="209">
        <f t="shared" si="7"/>
        <v>9528.9944006404112</v>
      </c>
      <c r="L30" s="209">
        <f t="shared" si="8"/>
        <v>1101.2881630350387</v>
      </c>
      <c r="M30" s="209">
        <f t="shared" si="9"/>
        <v>9917.0353482480932</v>
      </c>
      <c r="N30" s="209">
        <f t="shared" si="10"/>
        <v>1123.7268140828851</v>
      </c>
      <c r="O30" s="209">
        <f t="shared" si="11"/>
        <v>10305.076295855775</v>
      </c>
      <c r="P30" s="209">
        <f t="shared" si="12"/>
        <v>1146.1654651307315</v>
      </c>
      <c r="Q30" s="209">
        <f t="shared" si="13"/>
        <v>10693.117243463455</v>
      </c>
      <c r="R30" s="209">
        <f t="shared" si="14"/>
        <v>1168.6041161785779</v>
      </c>
      <c r="S30" s="209">
        <f t="shared" si="15"/>
        <v>11081.158191071134</v>
      </c>
      <c r="T30" s="209">
        <f t="shared" si="16"/>
        <v>1191.0427672264243</v>
      </c>
      <c r="U30" s="209">
        <f t="shared" si="17"/>
        <v>11469.199138678818</v>
      </c>
      <c r="V30" s="209">
        <f t="shared" si="18"/>
        <v>1213.4814182742707</v>
      </c>
      <c r="W30" s="209">
        <f t="shared" si="19"/>
        <v>11857.240086286498</v>
      </c>
      <c r="X30" s="209">
        <f t="shared" si="20"/>
        <v>1235.9200693221171</v>
      </c>
      <c r="Y30" s="209">
        <f t="shared" si="21"/>
        <v>12245.281033894182</v>
      </c>
      <c r="Z30" s="209">
        <f t="shared" si="22"/>
        <v>1258.3587203699633</v>
      </c>
      <c r="AA30" s="209">
        <f t="shared" si="23"/>
        <v>12633.321981501856</v>
      </c>
      <c r="AB30" s="209">
        <f t="shared" si="24"/>
        <v>1280.7973714178097</v>
      </c>
      <c r="AC30" s="209">
        <f t="shared" si="25"/>
        <v>13021.36292910954</v>
      </c>
      <c r="AD30" s="209">
        <f t="shared" si="26"/>
        <v>1303.2360224656561</v>
      </c>
      <c r="AE30" s="209">
        <f t="shared" si="27"/>
        <v>13409.403876717222</v>
      </c>
    </row>
    <row r="31" spans="1:31" ht="22.15" customHeight="1" x14ac:dyDescent="0.25">
      <c r="A31" s="223" t="s">
        <v>89</v>
      </c>
      <c r="B31" s="209">
        <f>MIN($D$15:$D$25)</f>
        <v>5.5525995319526027</v>
      </c>
      <c r="C31" s="205"/>
      <c r="D31" s="205"/>
      <c r="E31" s="205"/>
      <c r="F31" s="205"/>
      <c r="G31" s="205"/>
      <c r="H31" s="205"/>
      <c r="I31" s="222">
        <v>16</v>
      </c>
      <c r="J31" s="209">
        <f t="shared" si="6"/>
        <v>1057.6955999874433</v>
      </c>
      <c r="K31" s="209">
        <f t="shared" si="7"/>
        <v>10586.690000627854</v>
      </c>
      <c r="L31" s="209">
        <f t="shared" si="8"/>
        <v>1079.6942774853319</v>
      </c>
      <c r="M31" s="209">
        <f t="shared" si="9"/>
        <v>10996.729625733426</v>
      </c>
      <c r="N31" s="209">
        <f t="shared" si="10"/>
        <v>1101.6929549832205</v>
      </c>
      <c r="O31" s="209">
        <f t="shared" si="11"/>
        <v>11406.769250838996</v>
      </c>
      <c r="P31" s="209">
        <f t="shared" si="12"/>
        <v>1123.6916324811091</v>
      </c>
      <c r="Q31" s="209">
        <f t="shared" si="13"/>
        <v>11816.808875944564</v>
      </c>
      <c r="R31" s="209">
        <f t="shared" si="14"/>
        <v>1145.6903099789977</v>
      </c>
      <c r="S31" s="209">
        <f t="shared" si="15"/>
        <v>12226.848501050132</v>
      </c>
      <c r="T31" s="209">
        <f t="shared" si="16"/>
        <v>1167.6889874768863</v>
      </c>
      <c r="U31" s="209">
        <f t="shared" si="17"/>
        <v>12636.888126155704</v>
      </c>
      <c r="V31" s="209">
        <f t="shared" si="18"/>
        <v>1189.6876649747749</v>
      </c>
      <c r="W31" s="209">
        <f t="shared" si="19"/>
        <v>13046.927751261273</v>
      </c>
      <c r="X31" s="209">
        <f t="shared" si="20"/>
        <v>1211.6863424726637</v>
      </c>
      <c r="Y31" s="209">
        <f t="shared" si="21"/>
        <v>13456.967376366845</v>
      </c>
      <c r="Z31" s="209">
        <f t="shared" si="22"/>
        <v>1233.685019970552</v>
      </c>
      <c r="AA31" s="209">
        <f t="shared" si="23"/>
        <v>13867.007001472408</v>
      </c>
      <c r="AB31" s="209">
        <f t="shared" si="24"/>
        <v>1255.6836974684406</v>
      </c>
      <c r="AC31" s="209">
        <f t="shared" si="25"/>
        <v>14277.046626577981</v>
      </c>
      <c r="AD31" s="209">
        <f t="shared" si="26"/>
        <v>1277.6823749663292</v>
      </c>
      <c r="AE31" s="209">
        <f t="shared" si="27"/>
        <v>14687.086251683551</v>
      </c>
    </row>
    <row r="32" spans="1:31" ht="22.15" customHeight="1" x14ac:dyDescent="0.25">
      <c r="A32" s="223" t="s">
        <v>90</v>
      </c>
      <c r="B32" s="209">
        <f>MAX($D$15:$D$25)</f>
        <v>6.7869833666614596</v>
      </c>
      <c r="C32" s="205"/>
      <c r="D32" s="205"/>
      <c r="E32" s="205"/>
      <c r="F32" s="205"/>
      <c r="G32" s="205"/>
      <c r="H32" s="205"/>
      <c r="I32" s="222">
        <v>17</v>
      </c>
      <c r="J32" s="209">
        <f t="shared" si="6"/>
        <v>1036.9564705759246</v>
      </c>
      <c r="K32" s="209">
        <f t="shared" si="7"/>
        <v>11623.646471203778</v>
      </c>
      <c r="L32" s="209">
        <f t="shared" si="8"/>
        <v>1058.5238014562076</v>
      </c>
      <c r="M32" s="209">
        <f t="shared" si="9"/>
        <v>12055.253427189633</v>
      </c>
      <c r="N32" s="209">
        <f t="shared" si="10"/>
        <v>1080.0911323364905</v>
      </c>
      <c r="O32" s="209">
        <f t="shared" si="11"/>
        <v>12486.860383175486</v>
      </c>
      <c r="P32" s="209">
        <f t="shared" si="12"/>
        <v>1101.6584632167735</v>
      </c>
      <c r="Q32" s="209">
        <f t="shared" si="13"/>
        <v>12918.467339161338</v>
      </c>
      <c r="R32" s="209">
        <f t="shared" si="14"/>
        <v>1123.2257940970565</v>
      </c>
      <c r="S32" s="209">
        <f t="shared" si="15"/>
        <v>13350.074295147188</v>
      </c>
      <c r="T32" s="209">
        <f t="shared" si="16"/>
        <v>1144.7931249773394</v>
      </c>
      <c r="U32" s="209">
        <f t="shared" si="17"/>
        <v>13781.681251133043</v>
      </c>
      <c r="V32" s="209">
        <f t="shared" si="18"/>
        <v>1166.3604558576224</v>
      </c>
      <c r="W32" s="209">
        <f t="shared" si="19"/>
        <v>14213.288207118896</v>
      </c>
      <c r="X32" s="209">
        <f t="shared" si="20"/>
        <v>1187.9277867379053</v>
      </c>
      <c r="Y32" s="209">
        <f t="shared" si="21"/>
        <v>14644.895163104751</v>
      </c>
      <c r="Z32" s="209">
        <f t="shared" si="22"/>
        <v>1209.4951176181883</v>
      </c>
      <c r="AA32" s="209">
        <f t="shared" si="23"/>
        <v>15076.502119090595</v>
      </c>
      <c r="AB32" s="209">
        <f t="shared" si="24"/>
        <v>1231.0624484984712</v>
      </c>
      <c r="AC32" s="209">
        <f t="shared" si="25"/>
        <v>15508.109075076452</v>
      </c>
      <c r="AD32" s="209">
        <f t="shared" si="26"/>
        <v>1252.6297793787542</v>
      </c>
      <c r="AE32" s="209">
        <f t="shared" si="27"/>
        <v>15939.716031062306</v>
      </c>
    </row>
    <row r="33" spans="1:31" ht="22.15" customHeight="1" x14ac:dyDescent="0.25">
      <c r="A33" s="223" t="s">
        <v>123</v>
      </c>
      <c r="B33" s="209">
        <f>B32-B31</f>
        <v>1.2343838347088569</v>
      </c>
      <c r="C33" s="205"/>
      <c r="D33" s="205"/>
      <c r="E33" s="205"/>
      <c r="F33" s="205"/>
      <c r="G33" s="205"/>
      <c r="H33" s="205"/>
      <c r="I33" s="222">
        <v>18</v>
      </c>
      <c r="J33" s="209">
        <f t="shared" si="6"/>
        <v>1016.6239907607105</v>
      </c>
      <c r="K33" s="209">
        <f t="shared" si="7"/>
        <v>12640.270461964488</v>
      </c>
      <c r="L33" s="209">
        <f t="shared" si="8"/>
        <v>1037.7684328002035</v>
      </c>
      <c r="M33" s="209">
        <f t="shared" si="9"/>
        <v>13093.021859989836</v>
      </c>
      <c r="N33" s="209">
        <f t="shared" si="10"/>
        <v>1058.9128748396968</v>
      </c>
      <c r="O33" s="209">
        <f t="shared" si="11"/>
        <v>13545.773258015182</v>
      </c>
      <c r="P33" s="209">
        <f t="shared" si="12"/>
        <v>1080.0573168791898</v>
      </c>
      <c r="Q33" s="209">
        <f t="shared" si="13"/>
        <v>13998.524656040528</v>
      </c>
      <c r="R33" s="209">
        <f t="shared" si="14"/>
        <v>1101.201758918683</v>
      </c>
      <c r="S33" s="209">
        <f t="shared" si="15"/>
        <v>14451.276054065871</v>
      </c>
      <c r="T33" s="209">
        <f t="shared" si="16"/>
        <v>1122.346200958176</v>
      </c>
      <c r="U33" s="209">
        <f t="shared" si="17"/>
        <v>14904.027452091219</v>
      </c>
      <c r="V33" s="209">
        <f t="shared" si="18"/>
        <v>1143.4906429976691</v>
      </c>
      <c r="W33" s="209">
        <f t="shared" si="19"/>
        <v>15356.778850116565</v>
      </c>
      <c r="X33" s="209">
        <f t="shared" si="20"/>
        <v>1164.6350850371623</v>
      </c>
      <c r="Y33" s="209">
        <f t="shared" si="21"/>
        <v>15809.530248141913</v>
      </c>
      <c r="Z33" s="209">
        <f t="shared" si="22"/>
        <v>1185.7795270766553</v>
      </c>
      <c r="AA33" s="209">
        <f t="shared" si="23"/>
        <v>16262.28164616725</v>
      </c>
      <c r="AB33" s="209">
        <f t="shared" si="24"/>
        <v>1206.9239691161483</v>
      </c>
      <c r="AC33" s="209">
        <f t="shared" si="25"/>
        <v>16715.033044192602</v>
      </c>
      <c r="AD33" s="209">
        <f t="shared" si="26"/>
        <v>1228.0684111556413</v>
      </c>
      <c r="AE33" s="209">
        <f t="shared" si="27"/>
        <v>17167.784442217948</v>
      </c>
    </row>
    <row r="34" spans="1:31" ht="22.15" customHeight="1" x14ac:dyDescent="0.25">
      <c r="A34" s="223" t="s">
        <v>131</v>
      </c>
      <c r="B34" s="209">
        <f>$C$15</f>
        <v>19219.851851008301</v>
      </c>
      <c r="C34" s="205"/>
      <c r="D34" s="205"/>
      <c r="E34" s="205"/>
      <c r="F34" s="205"/>
      <c r="G34" s="205"/>
      <c r="H34" s="205"/>
      <c r="I34" s="222">
        <v>19</v>
      </c>
      <c r="J34" s="209">
        <f t="shared" si="6"/>
        <v>996.69018702030451</v>
      </c>
      <c r="K34" s="209">
        <f t="shared" si="7"/>
        <v>13636.960648984792</v>
      </c>
      <c r="L34" s="209">
        <f t="shared" si="8"/>
        <v>1017.4200321570625</v>
      </c>
      <c r="M34" s="209">
        <f t="shared" si="9"/>
        <v>14110.441892146899</v>
      </c>
      <c r="N34" s="209">
        <f t="shared" si="10"/>
        <v>1038.1498772938203</v>
      </c>
      <c r="O34" s="209">
        <f t="shared" si="11"/>
        <v>14583.923135309004</v>
      </c>
      <c r="P34" s="209">
        <f t="shared" si="12"/>
        <v>1058.8797224305783</v>
      </c>
      <c r="Q34" s="209">
        <f t="shared" si="13"/>
        <v>15057.404378471107</v>
      </c>
      <c r="R34" s="209">
        <f t="shared" si="14"/>
        <v>1079.6095675673362</v>
      </c>
      <c r="S34" s="209">
        <f t="shared" si="15"/>
        <v>15530.885621633208</v>
      </c>
      <c r="T34" s="209">
        <f t="shared" si="16"/>
        <v>1100.3394127040942</v>
      </c>
      <c r="U34" s="209">
        <f t="shared" si="17"/>
        <v>16004.366864795313</v>
      </c>
      <c r="V34" s="209">
        <f t="shared" si="18"/>
        <v>1121.0692578408521</v>
      </c>
      <c r="W34" s="209">
        <f t="shared" si="19"/>
        <v>16477.848107957416</v>
      </c>
      <c r="X34" s="209">
        <f t="shared" si="20"/>
        <v>1141.7991029776101</v>
      </c>
      <c r="Y34" s="209">
        <f t="shared" si="21"/>
        <v>16951.329351119522</v>
      </c>
      <c r="Z34" s="209">
        <f t="shared" si="22"/>
        <v>1162.5289481143679</v>
      </c>
      <c r="AA34" s="209">
        <f t="shared" si="23"/>
        <v>17424.810594281618</v>
      </c>
      <c r="AB34" s="209">
        <f t="shared" si="24"/>
        <v>1183.2587932511258</v>
      </c>
      <c r="AC34" s="209">
        <f t="shared" si="25"/>
        <v>17898.291837443729</v>
      </c>
      <c r="AD34" s="209">
        <f t="shared" si="26"/>
        <v>1203.9886383878838</v>
      </c>
      <c r="AE34" s="209">
        <f t="shared" si="27"/>
        <v>18371.773080605832</v>
      </c>
    </row>
    <row r="35" spans="1:31" ht="36.75" customHeight="1" x14ac:dyDescent="0.25">
      <c r="A35" s="223" t="s">
        <v>132</v>
      </c>
      <c r="B35" s="209">
        <f>$C$25</f>
        <v>25115.832231711975</v>
      </c>
      <c r="C35" s="205"/>
      <c r="D35" s="205"/>
      <c r="E35" s="205"/>
      <c r="F35" s="205"/>
      <c r="G35" s="205"/>
      <c r="H35" s="205"/>
      <c r="I35" s="222">
        <v>20</v>
      </c>
      <c r="J35" s="209">
        <f t="shared" si="6"/>
        <v>977.14724217676894</v>
      </c>
      <c r="K35" s="209">
        <f t="shared" si="7"/>
        <v>14614.10789116156</v>
      </c>
      <c r="L35" s="209">
        <f t="shared" si="8"/>
        <v>997.47061976182579</v>
      </c>
      <c r="M35" s="209">
        <f t="shared" si="9"/>
        <v>15107.912511908724</v>
      </c>
      <c r="N35" s="209">
        <f t="shared" si="10"/>
        <v>1017.7939973468826</v>
      </c>
      <c r="O35" s="209">
        <f t="shared" si="11"/>
        <v>15601.717132655886</v>
      </c>
      <c r="P35" s="209">
        <f t="shared" si="12"/>
        <v>1038.1173749319394</v>
      </c>
      <c r="Q35" s="209">
        <f t="shared" si="13"/>
        <v>16095.521753403045</v>
      </c>
      <c r="R35" s="209">
        <f t="shared" si="14"/>
        <v>1058.4407525169963</v>
      </c>
      <c r="S35" s="209">
        <f t="shared" si="15"/>
        <v>16589.326374150205</v>
      </c>
      <c r="T35" s="209">
        <f t="shared" si="16"/>
        <v>1078.7641301020531</v>
      </c>
      <c r="U35" s="209">
        <f t="shared" si="17"/>
        <v>17083.130994897365</v>
      </c>
      <c r="V35" s="209">
        <f t="shared" si="18"/>
        <v>1099.0875076871098</v>
      </c>
      <c r="W35" s="209">
        <f t="shared" si="19"/>
        <v>17576.935615644525</v>
      </c>
      <c r="X35" s="209">
        <f t="shared" si="20"/>
        <v>1119.4108852721668</v>
      </c>
      <c r="Y35" s="209">
        <f t="shared" si="21"/>
        <v>18070.740236391688</v>
      </c>
      <c r="Z35" s="209">
        <f t="shared" si="22"/>
        <v>1139.7342628572233</v>
      </c>
      <c r="AA35" s="209">
        <f t="shared" si="23"/>
        <v>18564.544857138841</v>
      </c>
      <c r="AB35" s="209">
        <f t="shared" si="24"/>
        <v>1160.0576404422802</v>
      </c>
      <c r="AC35" s="209">
        <f t="shared" si="25"/>
        <v>19058.349477886008</v>
      </c>
      <c r="AD35" s="209">
        <f t="shared" si="26"/>
        <v>1180.3810180273369</v>
      </c>
      <c r="AE35" s="209">
        <f t="shared" si="27"/>
        <v>19552.154098633167</v>
      </c>
    </row>
    <row r="36" spans="1:31" ht="36" customHeight="1" x14ac:dyDescent="0.25">
      <c r="A36" s="206" t="s">
        <v>94</v>
      </c>
      <c r="B36" s="208">
        <f>AVERAGE(ABS(H16),ABS(H17),ABS(H18),ABS(H19),ABS(H20),ABS(H21),ABS(H22),ABS(H23),ABS(H24),ABS(H25))</f>
        <v>0.39751935288506535</v>
      </c>
      <c r="C36" s="205"/>
      <c r="D36" s="205"/>
      <c r="E36" s="205"/>
      <c r="F36" s="205"/>
      <c r="G36" s="205"/>
      <c r="H36" s="205"/>
      <c r="I36" s="222">
        <v>21</v>
      </c>
      <c r="J36" s="209">
        <f t="shared" si="6"/>
        <v>957.98749233016576</v>
      </c>
      <c r="K36" s="209">
        <f t="shared" si="7"/>
        <v>15572.095383491725</v>
      </c>
      <c r="L36" s="209">
        <f t="shared" si="8"/>
        <v>977.91237231551554</v>
      </c>
      <c r="M36" s="209">
        <f t="shared" si="9"/>
        <v>16085.824884224239</v>
      </c>
      <c r="N36" s="209">
        <f t="shared" si="10"/>
        <v>997.83725230086543</v>
      </c>
      <c r="O36" s="209">
        <f t="shared" si="11"/>
        <v>16599.554384956751</v>
      </c>
      <c r="P36" s="209">
        <f t="shared" si="12"/>
        <v>1017.7621322862152</v>
      </c>
      <c r="Q36" s="209">
        <f t="shared" si="13"/>
        <v>17113.283885689259</v>
      </c>
      <c r="R36" s="209">
        <f t="shared" si="14"/>
        <v>1037.687012271565</v>
      </c>
      <c r="S36" s="209">
        <f t="shared" si="15"/>
        <v>17627.013386421771</v>
      </c>
      <c r="T36" s="209">
        <f t="shared" si="16"/>
        <v>1057.6118922569149</v>
      </c>
      <c r="U36" s="209">
        <f t="shared" si="17"/>
        <v>18140.74288715428</v>
      </c>
      <c r="V36" s="209">
        <f t="shared" si="18"/>
        <v>1077.5367722422645</v>
      </c>
      <c r="W36" s="209">
        <f t="shared" si="19"/>
        <v>18654.472387886788</v>
      </c>
      <c r="X36" s="209">
        <f t="shared" si="20"/>
        <v>1097.4616522276144</v>
      </c>
      <c r="Y36" s="209">
        <f t="shared" si="21"/>
        <v>19168.201888619304</v>
      </c>
      <c r="Z36" s="209">
        <f t="shared" si="22"/>
        <v>1117.3865322129641</v>
      </c>
      <c r="AA36" s="209">
        <f t="shared" si="23"/>
        <v>19681.931389351805</v>
      </c>
      <c r="AB36" s="209">
        <f t="shared" si="24"/>
        <v>1137.311412198314</v>
      </c>
      <c r="AC36" s="209">
        <f t="shared" si="25"/>
        <v>20195.66089008432</v>
      </c>
      <c r="AD36" s="209">
        <f t="shared" si="26"/>
        <v>1157.2362921836636</v>
      </c>
      <c r="AE36" s="209">
        <f t="shared" si="27"/>
        <v>20709.390390816832</v>
      </c>
    </row>
    <row r="37" spans="1:31" ht="22.15" customHeight="1" x14ac:dyDescent="0.25">
      <c r="A37" s="205"/>
      <c r="B37" s="205"/>
      <c r="C37" s="205"/>
      <c r="D37" s="205"/>
      <c r="E37" s="205"/>
      <c r="F37" s="205"/>
      <c r="G37" s="205"/>
      <c r="H37" s="205"/>
      <c r="I37" s="222">
        <v>22</v>
      </c>
      <c r="J37" s="209">
        <f t="shared" si="6"/>
        <v>939.20342385310357</v>
      </c>
      <c r="K37" s="209">
        <f t="shared" si="7"/>
        <v>16511.298807344829</v>
      </c>
      <c r="L37" s="209">
        <f t="shared" si="8"/>
        <v>958.73761991717208</v>
      </c>
      <c r="M37" s="209">
        <f t="shared" si="9"/>
        <v>17044.56250414141</v>
      </c>
      <c r="N37" s="209">
        <f t="shared" si="10"/>
        <v>978.27181598124048</v>
      </c>
      <c r="O37" s="209">
        <f t="shared" si="11"/>
        <v>17577.826200937991</v>
      </c>
      <c r="P37" s="209">
        <f t="shared" si="12"/>
        <v>997.80601204530899</v>
      </c>
      <c r="Q37" s="209">
        <f t="shared" si="13"/>
        <v>18111.089897734568</v>
      </c>
      <c r="R37" s="209">
        <f t="shared" si="14"/>
        <v>1017.3402081093774</v>
      </c>
      <c r="S37" s="209">
        <f t="shared" si="15"/>
        <v>18644.353594531149</v>
      </c>
      <c r="T37" s="209">
        <f t="shared" si="16"/>
        <v>1036.8744041734458</v>
      </c>
      <c r="U37" s="209">
        <f t="shared" si="17"/>
        <v>19177.617291327726</v>
      </c>
      <c r="V37" s="209">
        <f t="shared" si="18"/>
        <v>1056.4086002375143</v>
      </c>
      <c r="W37" s="209">
        <f t="shared" si="19"/>
        <v>19710.880988124303</v>
      </c>
      <c r="X37" s="209">
        <f t="shared" si="20"/>
        <v>1075.9427963015828</v>
      </c>
      <c r="Y37" s="209">
        <f t="shared" si="21"/>
        <v>20244.144684920888</v>
      </c>
      <c r="Z37" s="209">
        <f t="shared" si="22"/>
        <v>1095.4769923656511</v>
      </c>
      <c r="AA37" s="209">
        <f t="shared" si="23"/>
        <v>20777.408381717454</v>
      </c>
      <c r="AB37" s="209">
        <f t="shared" si="24"/>
        <v>1115.0111884297194</v>
      </c>
      <c r="AC37" s="209">
        <f t="shared" si="25"/>
        <v>21310.672078514039</v>
      </c>
      <c r="AD37" s="209">
        <f t="shared" si="26"/>
        <v>1134.5453844937879</v>
      </c>
      <c r="AE37" s="209">
        <f t="shared" si="27"/>
        <v>21843.93577531062</v>
      </c>
    </row>
    <row r="38" spans="1:31" ht="22.15" customHeight="1" x14ac:dyDescent="0.25">
      <c r="A38" s="205"/>
      <c r="B38" s="205"/>
      <c r="C38" s="205"/>
      <c r="D38" s="205"/>
      <c r="E38" s="205"/>
      <c r="F38" s="205"/>
      <c r="G38" s="205"/>
      <c r="H38" s="205"/>
      <c r="I38" s="222">
        <v>23</v>
      </c>
      <c r="J38" s="209">
        <f t="shared" si="6"/>
        <v>920.78767044421943</v>
      </c>
      <c r="K38" s="209">
        <f t="shared" si="7"/>
        <v>17432.086477789049</v>
      </c>
      <c r="L38" s="209">
        <f t="shared" si="8"/>
        <v>939.93884305605127</v>
      </c>
      <c r="M38" s="209">
        <f t="shared" si="9"/>
        <v>17984.50134719746</v>
      </c>
      <c r="N38" s="209">
        <f t="shared" si="10"/>
        <v>959.09001566788299</v>
      </c>
      <c r="O38" s="209">
        <f t="shared" si="11"/>
        <v>18536.916216605874</v>
      </c>
      <c r="P38" s="209">
        <f t="shared" si="12"/>
        <v>978.24118827971483</v>
      </c>
      <c r="Q38" s="209">
        <f t="shared" si="13"/>
        <v>19089.331086014281</v>
      </c>
      <c r="R38" s="209">
        <f t="shared" si="14"/>
        <v>997.39236089154667</v>
      </c>
      <c r="S38" s="209">
        <f t="shared" si="15"/>
        <v>19641.745955422695</v>
      </c>
      <c r="T38" s="209">
        <f t="shared" si="16"/>
        <v>1016.5435335033785</v>
      </c>
      <c r="U38" s="209">
        <f t="shared" si="17"/>
        <v>20194.160824831106</v>
      </c>
      <c r="V38" s="209">
        <f t="shared" si="18"/>
        <v>1035.6947061152102</v>
      </c>
      <c r="W38" s="209">
        <f t="shared" si="19"/>
        <v>20746.575694239513</v>
      </c>
      <c r="X38" s="209">
        <f t="shared" si="20"/>
        <v>1054.8458787270422</v>
      </c>
      <c r="Y38" s="209">
        <f t="shared" si="21"/>
        <v>21298.990563647931</v>
      </c>
      <c r="Z38" s="209">
        <f t="shared" si="22"/>
        <v>1073.9970513388737</v>
      </c>
      <c r="AA38" s="209">
        <f t="shared" si="23"/>
        <v>21851.405433056327</v>
      </c>
      <c r="AB38" s="209">
        <f t="shared" si="24"/>
        <v>1093.1482239507056</v>
      </c>
      <c r="AC38" s="209">
        <f t="shared" si="25"/>
        <v>22403.820302464745</v>
      </c>
      <c r="AD38" s="209">
        <f t="shared" si="26"/>
        <v>1112.2993965625374</v>
      </c>
      <c r="AE38" s="209">
        <f t="shared" si="27"/>
        <v>22956.235171873159</v>
      </c>
    </row>
    <row r="39" spans="1:31" ht="22.15" customHeight="1" x14ac:dyDescent="0.25">
      <c r="A39" s="205"/>
      <c r="B39" s="205"/>
      <c r="C39" s="205"/>
      <c r="D39" s="205"/>
      <c r="E39" s="205"/>
      <c r="F39" s="205"/>
      <c r="G39" s="205"/>
      <c r="H39" s="205"/>
      <c r="I39" s="222">
        <v>24</v>
      </c>
      <c r="J39" s="209">
        <f t="shared" si="6"/>
        <v>902.73301023943077</v>
      </c>
      <c r="K39" s="209">
        <f t="shared" si="7"/>
        <v>18334.819488028479</v>
      </c>
      <c r="L39" s="209">
        <f t="shared" si="8"/>
        <v>921.50866966279523</v>
      </c>
      <c r="M39" s="209">
        <f t="shared" si="9"/>
        <v>18906.010016860255</v>
      </c>
      <c r="N39" s="209">
        <f t="shared" si="10"/>
        <v>940.2843290861598</v>
      </c>
      <c r="O39" s="209">
        <f t="shared" si="11"/>
        <v>19477.200545692034</v>
      </c>
      <c r="P39" s="209">
        <f t="shared" si="12"/>
        <v>959.05998850952426</v>
      </c>
      <c r="Q39" s="209">
        <f t="shared" si="13"/>
        <v>20048.391074523806</v>
      </c>
      <c r="R39" s="209">
        <f t="shared" si="14"/>
        <v>977.83564793288883</v>
      </c>
      <c r="S39" s="209">
        <f t="shared" si="15"/>
        <v>20619.581603355586</v>
      </c>
      <c r="T39" s="209">
        <f t="shared" si="16"/>
        <v>996.61130735625341</v>
      </c>
      <c r="U39" s="209">
        <f t="shared" si="17"/>
        <v>21190.772132187358</v>
      </c>
      <c r="V39" s="209">
        <f t="shared" si="18"/>
        <v>1015.3869667796179</v>
      </c>
      <c r="W39" s="209">
        <f t="shared" si="19"/>
        <v>21761.96266101913</v>
      </c>
      <c r="X39" s="209">
        <f t="shared" si="20"/>
        <v>1034.1626262029824</v>
      </c>
      <c r="Y39" s="209">
        <f t="shared" si="21"/>
        <v>22333.153189850913</v>
      </c>
      <c r="Z39" s="209">
        <f t="shared" si="22"/>
        <v>1052.9382856263467</v>
      </c>
      <c r="AA39" s="209">
        <f t="shared" si="23"/>
        <v>22904.343718682674</v>
      </c>
      <c r="AB39" s="209">
        <f t="shared" si="24"/>
        <v>1071.7139450497114</v>
      </c>
      <c r="AC39" s="209">
        <f t="shared" si="25"/>
        <v>23475.534247514457</v>
      </c>
      <c r="AD39" s="209">
        <f t="shared" si="26"/>
        <v>1090.4896044730758</v>
      </c>
      <c r="AE39" s="209">
        <f t="shared" si="27"/>
        <v>24046.724776346236</v>
      </c>
    </row>
    <row r="40" spans="1:31" ht="22.15" customHeight="1" x14ac:dyDescent="0.25">
      <c r="A40" s="205"/>
      <c r="B40" s="205"/>
      <c r="C40" s="205"/>
      <c r="D40" s="205"/>
      <c r="E40" s="205"/>
      <c r="F40" s="205"/>
      <c r="G40" s="205"/>
      <c r="H40" s="205"/>
      <c r="I40" s="222">
        <v>25</v>
      </c>
      <c r="J40" s="209">
        <f t="shared" si="6"/>
        <v>885.03236297983403</v>
      </c>
      <c r="K40" s="209">
        <f t="shared" si="7"/>
        <v>19219.851851008312</v>
      </c>
      <c r="L40" s="209">
        <f t="shared" si="8"/>
        <v>903.43987221842679</v>
      </c>
      <c r="M40" s="209">
        <f t="shared" si="9"/>
        <v>19809.449889078682</v>
      </c>
      <c r="N40" s="209">
        <f t="shared" si="10"/>
        <v>921.84738145701942</v>
      </c>
      <c r="O40" s="209">
        <f t="shared" si="11"/>
        <v>20399.047927149055</v>
      </c>
      <c r="P40" s="209">
        <f t="shared" si="12"/>
        <v>940.25489069561206</v>
      </c>
      <c r="Q40" s="209">
        <f t="shared" si="13"/>
        <v>20988.645965219417</v>
      </c>
      <c r="R40" s="209">
        <f t="shared" si="14"/>
        <v>958.6623999342047</v>
      </c>
      <c r="S40" s="209">
        <f t="shared" si="15"/>
        <v>21578.24400328979</v>
      </c>
      <c r="T40" s="209">
        <f t="shared" si="16"/>
        <v>977.06990917279745</v>
      </c>
      <c r="U40" s="209">
        <f t="shared" si="17"/>
        <v>22167.842041360156</v>
      </c>
      <c r="V40" s="209">
        <f t="shared" si="18"/>
        <v>995.47741841139009</v>
      </c>
      <c r="W40" s="209">
        <f t="shared" si="19"/>
        <v>22757.440079430518</v>
      </c>
      <c r="X40" s="209">
        <f t="shared" si="20"/>
        <v>1013.8849276499827</v>
      </c>
      <c r="Y40" s="209">
        <f t="shared" si="21"/>
        <v>23347.038117500895</v>
      </c>
      <c r="Z40" s="209">
        <f t="shared" si="22"/>
        <v>1032.2924368885754</v>
      </c>
      <c r="AA40" s="209">
        <f t="shared" si="23"/>
        <v>23936.63615557125</v>
      </c>
      <c r="AB40" s="209">
        <f t="shared" si="24"/>
        <v>1050.699946127168</v>
      </c>
      <c r="AC40" s="209">
        <f t="shared" si="25"/>
        <v>24526.234193641627</v>
      </c>
      <c r="AD40" s="209">
        <f t="shared" si="26"/>
        <v>1069.1074553657606</v>
      </c>
      <c r="AE40" s="209">
        <f t="shared" si="27"/>
        <v>25115.832231711996</v>
      </c>
    </row>
    <row r="41" spans="1:31" ht="22.15" customHeight="1" x14ac:dyDescent="0.25">
      <c r="A41" s="205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</row>
    <row r="42" spans="1:31" ht="22.15" customHeight="1" x14ac:dyDescent="0.25">
      <c r="A42" s="205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</row>
    <row r="43" spans="1:31" ht="22.15" customHeight="1" x14ac:dyDescent="0.25">
      <c r="A43" s="205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</row>
    <row r="44" spans="1:31" ht="22.15" customHeight="1" x14ac:dyDescent="0.25">
      <c r="A44" s="205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</row>
    <row r="45" spans="1:31" ht="22.15" customHeight="1" x14ac:dyDescent="0.25">
      <c r="A45" s="205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</row>
    <row r="46" spans="1:31" ht="22.15" customHeight="1" x14ac:dyDescent="0.25">
      <c r="A46" s="205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</row>
    <row r="47" spans="1:31" ht="22.15" customHeight="1" x14ac:dyDescent="0.25">
      <c r="A47" s="205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</row>
    <row r="48" spans="1:31" ht="22.15" customHeight="1" x14ac:dyDescent="0.25">
      <c r="A48" s="205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</row>
    <row r="49" spans="1:31" ht="22.15" customHeight="1" x14ac:dyDescent="0.25">
      <c r="A49" s="205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5"/>
      <c r="AE49" s="205"/>
    </row>
    <row r="50" spans="1:31" ht="22.15" customHeight="1" x14ac:dyDescent="0.25">
      <c r="A50" s="205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5"/>
    </row>
    <row r="51" spans="1:31" ht="22.15" customHeight="1" x14ac:dyDescent="0.25">
      <c r="A51" s="205"/>
      <c r="B51" s="205"/>
      <c r="C51" s="20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</row>
    <row r="52" spans="1:31" ht="22.15" customHeight="1" x14ac:dyDescent="0.25">
      <c r="A52" s="205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</row>
    <row r="53" spans="1:31" ht="22.15" customHeight="1" x14ac:dyDescent="0.25">
      <c r="A53" s="205"/>
      <c r="B53" s="205"/>
      <c r="C53" s="20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</row>
    <row r="54" spans="1:31" ht="22.15" customHeight="1" x14ac:dyDescent="0.25">
      <c r="A54" s="205"/>
      <c r="B54" s="205"/>
      <c r="C54" s="20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</row>
    <row r="55" spans="1:31" ht="22.15" customHeight="1" x14ac:dyDescent="0.25">
      <c r="A55" s="205"/>
      <c r="B55" s="205"/>
      <c r="C55" s="20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</row>
    <row r="56" spans="1:31" ht="22.15" customHeight="1" x14ac:dyDescent="0.25">
      <c r="A56" s="205"/>
      <c r="B56" s="205"/>
      <c r="C56" s="20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</row>
    <row r="57" spans="1:31" ht="22.15" customHeight="1" x14ac:dyDescent="0.25">
      <c r="A57" s="205"/>
      <c r="B57" s="205"/>
      <c r="C57" s="20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</row>
    <row r="58" spans="1:31" ht="22.15" customHeight="1" x14ac:dyDescent="0.25">
      <c r="A58" s="205"/>
      <c r="B58" s="205"/>
      <c r="C58" s="205"/>
      <c r="D58" s="205"/>
      <c r="E58" s="205"/>
      <c r="F58" s="205"/>
      <c r="G58" s="205"/>
      <c r="H58" s="205"/>
      <c r="I58" s="205"/>
      <c r="J58" s="205"/>
      <c r="K58" s="205"/>
      <c r="L58" s="205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/>
      <c r="AC58" s="205"/>
      <c r="AD58" s="205"/>
      <c r="AE58" s="205"/>
    </row>
    <row r="59" spans="1:31" ht="22.15" customHeight="1" x14ac:dyDescent="0.25">
      <c r="A59" s="205"/>
      <c r="B59" s="205"/>
      <c r="C59" s="205"/>
      <c r="D59" s="205"/>
      <c r="E59" s="205"/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/>
      <c r="AC59" s="205"/>
      <c r="AD59" s="205"/>
      <c r="AE59" s="205"/>
    </row>
    <row r="60" spans="1:31" ht="22.15" customHeight="1" x14ac:dyDescent="0.25">
      <c r="A60" s="205"/>
      <c r="B60" s="205"/>
      <c r="C60" s="205"/>
      <c r="D60" s="205"/>
      <c r="E60" s="205"/>
      <c r="F60" s="205"/>
      <c r="G60" s="205"/>
      <c r="H60" s="205"/>
      <c r="I60" s="205"/>
      <c r="J60" s="205"/>
      <c r="K60" s="205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/>
      <c r="AC60" s="205"/>
      <c r="AD60" s="205"/>
      <c r="AE60" s="205"/>
    </row>
    <row r="61" spans="1:31" x14ac:dyDescent="0.25">
      <c r="A61" s="205"/>
      <c r="B61" s="205"/>
      <c r="C61" s="205"/>
      <c r="D61" s="205"/>
      <c r="E61" s="205"/>
      <c r="F61" s="205"/>
      <c r="G61" s="205"/>
      <c r="H61" s="205"/>
      <c r="I61" s="205"/>
      <c r="J61" s="205"/>
      <c r="K61" s="205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</row>
    <row r="62" spans="1:31" x14ac:dyDescent="0.25">
      <c r="A62" s="205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</row>
    <row r="63" spans="1:31" x14ac:dyDescent="0.25">
      <c r="A63" s="205"/>
      <c r="B63" s="205"/>
      <c r="C63" s="205"/>
      <c r="D63" s="205"/>
      <c r="E63" s="205"/>
      <c r="F63" s="205"/>
      <c r="G63" s="205"/>
      <c r="H63" s="205"/>
      <c r="I63" s="205"/>
      <c r="J63" s="205"/>
      <c r="K63" s="205"/>
      <c r="L63" s="205"/>
      <c r="M63" s="205"/>
      <c r="N63" s="205"/>
      <c r="O63" s="205"/>
      <c r="P63" s="205"/>
      <c r="Q63" s="205"/>
      <c r="R63" s="205"/>
      <c r="S63" s="205"/>
      <c r="T63" s="205"/>
      <c r="U63" s="205"/>
      <c r="V63" s="205"/>
      <c r="W63" s="205"/>
      <c r="X63" s="205"/>
      <c r="Y63" s="205"/>
      <c r="Z63" s="205"/>
      <c r="AA63" s="205"/>
      <c r="AB63" s="205"/>
      <c r="AC63" s="205"/>
      <c r="AD63" s="205"/>
      <c r="AE63" s="205"/>
    </row>
    <row r="64" spans="1:31" x14ac:dyDescent="0.25">
      <c r="A64" s="205"/>
      <c r="B64" s="205"/>
      <c r="C64" s="205"/>
      <c r="D64" s="205"/>
      <c r="E64" s="205"/>
      <c r="F64" s="205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5"/>
      <c r="AE64" s="205"/>
    </row>
    <row r="65" spans="1:31" x14ac:dyDescent="0.25">
      <c r="A65" s="205"/>
      <c r="B65" s="205"/>
      <c r="C65" s="205"/>
      <c r="D65" s="205"/>
      <c r="E65" s="205"/>
      <c r="F65" s="205"/>
      <c r="G65" s="205"/>
      <c r="H65" s="205"/>
      <c r="I65" s="205"/>
      <c r="J65" s="205"/>
      <c r="K65" s="205"/>
      <c r="L65" s="205"/>
      <c r="M65" s="205"/>
      <c r="N65" s="205"/>
      <c r="O65" s="205"/>
      <c r="P65" s="205"/>
      <c r="Q65" s="205"/>
      <c r="R65" s="205"/>
      <c r="S65" s="205"/>
      <c r="T65" s="205"/>
      <c r="U65" s="205"/>
      <c r="V65" s="205"/>
      <c r="W65" s="205"/>
      <c r="X65" s="205"/>
      <c r="Y65" s="205"/>
      <c r="Z65" s="205"/>
      <c r="AA65" s="205"/>
      <c r="AB65" s="205"/>
      <c r="AC65" s="205"/>
      <c r="AD65" s="205"/>
      <c r="AE65" s="205"/>
    </row>
    <row r="66" spans="1:31" x14ac:dyDescent="0.25">
      <c r="A66" s="205"/>
      <c r="B66" s="205"/>
      <c r="C66" s="205"/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5"/>
      <c r="P66" s="205"/>
      <c r="Q66" s="205"/>
      <c r="R66" s="205"/>
      <c r="S66" s="205"/>
      <c r="T66" s="205"/>
      <c r="U66" s="205"/>
      <c r="V66" s="205"/>
      <c r="W66" s="205"/>
      <c r="X66" s="205"/>
      <c r="Y66" s="205"/>
      <c r="Z66" s="205"/>
      <c r="AA66" s="205"/>
      <c r="AB66" s="205"/>
      <c r="AC66" s="205"/>
      <c r="AD66" s="205"/>
      <c r="AE66" s="205"/>
    </row>
    <row r="67" spans="1:31" x14ac:dyDescent="0.25">
      <c r="A67" s="205"/>
      <c r="B67" s="205"/>
      <c r="C67" s="205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/>
      <c r="Z67" s="205"/>
      <c r="AA67" s="205"/>
      <c r="AB67" s="205"/>
      <c r="AC67" s="205"/>
      <c r="AD67" s="205"/>
      <c r="AE67" s="205"/>
    </row>
  </sheetData>
  <sheetProtection sheet="1" objects="1" scenarios="1"/>
  <mergeCells count="1">
    <mergeCell ref="A1:G1"/>
  </mergeCells>
  <pageMargins left="0.75" right="0.75" top="1" bottom="1" header="0.5" footer="0.5"/>
  <pageSetup paperSize="9" fitToHeight="0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21">
    <pageSetUpPr fitToPage="1"/>
  </sheetPr>
  <dimension ref="A1:AE67"/>
  <sheetViews>
    <sheetView topLeftCell="A56" zoomScale="70" zoomScaleNormal="70" workbookViewId="0">
      <selection activeCell="O17" sqref="O17"/>
    </sheetView>
  </sheetViews>
  <sheetFormatPr defaultRowHeight="15" x14ac:dyDescent="0.25"/>
  <cols>
    <col min="1" max="1" width="40.7109375" customWidth="1"/>
    <col min="2" max="2" width="23.85546875" bestFit="1" customWidth="1"/>
    <col min="3" max="3" width="18.140625" bestFit="1" customWidth="1"/>
    <col min="4" max="4" width="24.7109375" customWidth="1"/>
    <col min="5" max="5" width="23.5703125" bestFit="1" customWidth="1"/>
    <col min="6" max="6" width="19" bestFit="1" customWidth="1"/>
    <col min="7" max="7" width="24.7109375" customWidth="1"/>
    <col min="9" max="9" width="6.140625" bestFit="1" customWidth="1"/>
    <col min="10" max="10" width="11.28515625" bestFit="1" customWidth="1"/>
    <col min="11" max="11" width="14.7109375" bestFit="1" customWidth="1"/>
    <col min="12" max="12" width="11.28515625" bestFit="1" customWidth="1"/>
    <col min="13" max="13" width="14.7109375" bestFit="1" customWidth="1"/>
    <col min="14" max="14" width="11.28515625" bestFit="1" customWidth="1"/>
    <col min="15" max="15" width="14.7109375" bestFit="1" customWidth="1"/>
    <col min="16" max="16" width="11.28515625" bestFit="1" customWidth="1"/>
    <col min="17" max="17" width="14.7109375" bestFit="1" customWidth="1"/>
    <col min="18" max="18" width="11.28515625" bestFit="1" customWidth="1"/>
    <col min="19" max="19" width="14.7109375" bestFit="1" customWidth="1"/>
    <col min="20" max="20" width="11.28515625" bestFit="1" customWidth="1"/>
    <col min="21" max="21" width="14.7109375" bestFit="1" customWidth="1"/>
    <col min="22" max="22" width="11.28515625" bestFit="1" customWidth="1"/>
    <col min="23" max="23" width="14.7109375" bestFit="1" customWidth="1"/>
    <col min="24" max="24" width="11.28515625" bestFit="1" customWidth="1"/>
    <col min="25" max="25" width="14.7109375" bestFit="1" customWidth="1"/>
    <col min="26" max="26" width="11.28515625" bestFit="1" customWidth="1"/>
    <col min="27" max="27" width="14.7109375" bestFit="1" customWidth="1"/>
    <col min="28" max="28" width="11.28515625" bestFit="1" customWidth="1"/>
    <col min="29" max="29" width="14.7109375" bestFit="1" customWidth="1"/>
    <col min="30" max="30" width="12.42578125" bestFit="1" customWidth="1"/>
    <col min="31" max="31" width="16.140625" bestFit="1" customWidth="1"/>
  </cols>
  <sheetData>
    <row r="1" spans="1:31" s="216" customFormat="1" ht="22.15" customHeight="1" x14ac:dyDescent="0.25">
      <c r="A1" s="273" t="s">
        <v>134</v>
      </c>
      <c r="B1" s="274"/>
      <c r="C1" s="274"/>
      <c r="D1" s="274"/>
      <c r="E1" s="274"/>
      <c r="F1" s="274"/>
      <c r="G1" s="274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</row>
    <row r="2" spans="1:31" ht="22.15" customHeight="1" x14ac:dyDescent="0.25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</row>
    <row r="3" spans="1:31" ht="22.15" customHeight="1" x14ac:dyDescent="0.25">
      <c r="A3" s="211" t="s">
        <v>53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</row>
    <row r="4" spans="1:31" ht="20.45" customHeight="1" x14ac:dyDescent="0.25">
      <c r="A4" s="206" t="s">
        <v>54</v>
      </c>
      <c r="B4" s="217">
        <f>IRR_DPP!$L$3</f>
        <v>9128</v>
      </c>
      <c r="C4" s="207" t="s">
        <v>38</v>
      </c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</row>
    <row r="5" spans="1:31" ht="35.25" customHeight="1" x14ac:dyDescent="0.25">
      <c r="A5" s="206" t="s">
        <v>97</v>
      </c>
      <c r="B5" s="217">
        <f>IRR_DPP!$B$4</f>
        <v>1451.9894000000002</v>
      </c>
      <c r="C5" s="207" t="s">
        <v>46</v>
      </c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</row>
    <row r="6" spans="1:31" ht="20.45" customHeight="1" x14ac:dyDescent="0.25">
      <c r="A6" s="206" t="s">
        <v>56</v>
      </c>
      <c r="B6" s="218">
        <f>MAX(IRR_DPP!$A$4:$A$28)</f>
        <v>25</v>
      </c>
      <c r="C6" s="207" t="s">
        <v>40</v>
      </c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</row>
    <row r="7" spans="1:31" ht="20.45" customHeight="1" x14ac:dyDescent="0.25">
      <c r="A7" s="206" t="s">
        <v>57</v>
      </c>
      <c r="B7" s="219">
        <f>IRR_DPP!$F$4</f>
        <v>0.02</v>
      </c>
      <c r="C7" s="207" t="s">
        <v>36</v>
      </c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</row>
    <row r="8" spans="1:31" ht="20.45" customHeight="1" x14ac:dyDescent="0.25">
      <c r="A8" s="206" t="s">
        <v>58</v>
      </c>
      <c r="B8" s="219">
        <f>IRR_DPP!$L$7</f>
        <v>0.15470672654179407</v>
      </c>
      <c r="C8" s="207" t="s">
        <v>36</v>
      </c>
      <c r="D8" s="205"/>
      <c r="E8" s="205"/>
      <c r="F8" s="205"/>
      <c r="G8" s="205"/>
      <c r="H8" s="205"/>
      <c r="I8" s="205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  <c r="AD8" s="205"/>
      <c r="AE8" s="205"/>
    </row>
    <row r="9" spans="1:31" ht="20.45" customHeight="1" x14ac:dyDescent="0.25">
      <c r="A9" s="206" t="s">
        <v>41</v>
      </c>
      <c r="B9" s="218">
        <f>$B$4/$B$5</f>
        <v>6.2865472709373771</v>
      </c>
      <c r="C9" s="207" t="s">
        <v>40</v>
      </c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</row>
    <row r="10" spans="1:31" ht="20.45" customHeight="1" x14ac:dyDescent="0.25">
      <c r="A10" s="206" t="s">
        <v>59</v>
      </c>
      <c r="B10" s="218">
        <f>DPP_FromNPV(IRR_DPP!$E$3:$E$28,IRR_DPP!$A$3:$A$28,IRR_DPP!$C$3:$C$28)</f>
        <v>6.7869833666614605</v>
      </c>
      <c r="C10" s="207" t="s">
        <v>40</v>
      </c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</row>
    <row r="11" spans="1:31" ht="20.45" customHeight="1" x14ac:dyDescent="0.25">
      <c r="A11" s="205" t="s">
        <v>135</v>
      </c>
      <c r="B11" s="205">
        <f>'Απόδοση Εγκατάστασης'!$J$2</f>
        <v>0.2</v>
      </c>
      <c r="C11" s="205" t="s">
        <v>37</v>
      </c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</row>
    <row r="12" spans="1:31" ht="22.15" customHeight="1" x14ac:dyDescent="0.25">
      <c r="A12" s="205" t="s">
        <v>136</v>
      </c>
      <c r="B12" s="205">
        <f>'Απόδοση Εγκατάστασης'!$F$21</f>
        <v>4240</v>
      </c>
      <c r="C12" s="205" t="s">
        <v>35</v>
      </c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5"/>
    </row>
    <row r="13" spans="1:31" ht="36.75" customHeight="1" x14ac:dyDescent="0.25">
      <c r="A13" s="211" t="s">
        <v>137</v>
      </c>
      <c r="B13" s="205"/>
      <c r="C13" s="205"/>
      <c r="D13" s="205"/>
      <c r="E13" s="205"/>
      <c r="F13" s="205"/>
      <c r="G13" s="205"/>
      <c r="H13" s="205"/>
      <c r="I13" s="206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</row>
    <row r="14" spans="1:31" ht="22.15" customHeight="1" x14ac:dyDescent="0.25">
      <c r="A14" s="220" t="s">
        <v>99</v>
      </c>
      <c r="B14" s="212" t="s">
        <v>47</v>
      </c>
      <c r="C14" s="212" t="s">
        <v>20</v>
      </c>
      <c r="D14" s="212" t="s">
        <v>61</v>
      </c>
      <c r="E14" s="212" t="s">
        <v>62</v>
      </c>
      <c r="F14" s="212" t="s">
        <v>100</v>
      </c>
      <c r="G14" s="212" t="s">
        <v>64</v>
      </c>
      <c r="H14" s="221" t="s">
        <v>65</v>
      </c>
      <c r="I14" s="212" t="s">
        <v>29</v>
      </c>
      <c r="J14" s="212" t="s">
        <v>101</v>
      </c>
      <c r="K14" s="212" t="s">
        <v>102</v>
      </c>
      <c r="L14" s="212" t="s">
        <v>103</v>
      </c>
      <c r="M14" s="212" t="s">
        <v>104</v>
      </c>
      <c r="N14" s="212" t="s">
        <v>105</v>
      </c>
      <c r="O14" s="212" t="s">
        <v>106</v>
      </c>
      <c r="P14" s="212" t="s">
        <v>107</v>
      </c>
      <c r="Q14" s="212" t="s">
        <v>108</v>
      </c>
      <c r="R14" s="212" t="s">
        <v>109</v>
      </c>
      <c r="S14" s="212" t="s">
        <v>110</v>
      </c>
      <c r="T14" s="212" t="s">
        <v>111</v>
      </c>
      <c r="U14" s="212" t="s">
        <v>112</v>
      </c>
      <c r="V14" s="212" t="s">
        <v>113</v>
      </c>
      <c r="W14" s="212" t="s">
        <v>114</v>
      </c>
      <c r="X14" s="212" t="s">
        <v>115</v>
      </c>
      <c r="Y14" s="212" t="s">
        <v>116</v>
      </c>
      <c r="Z14" s="212" t="s">
        <v>117</v>
      </c>
      <c r="AA14" s="212" t="s">
        <v>118</v>
      </c>
      <c r="AB14" s="212" t="s">
        <v>119</v>
      </c>
      <c r="AC14" s="212" t="s">
        <v>120</v>
      </c>
      <c r="AD14" s="212" t="s">
        <v>121</v>
      </c>
      <c r="AE14" s="212" t="s">
        <v>122</v>
      </c>
    </row>
    <row r="15" spans="1:31" ht="22.15" customHeight="1" x14ac:dyDescent="0.25">
      <c r="A15" s="210">
        <v>-0.5</v>
      </c>
      <c r="B15" s="209">
        <f t="shared" ref="B15:B25" si="0">$B$11*(1+$A15)</f>
        <v>0.1</v>
      </c>
      <c r="C15" s="251">
        <f t="shared" ref="C15:C25" si="1">IF($B$7=0,($B$5+$B$12*(B15-$B$11))*$B$6-$B$4,($B$5+$B$12*(B15-$B$11))*(1-(1+$B$7)^(-$B$6))/$B$7-$B$4)</f>
        <v>10941.906306207824</v>
      </c>
      <c r="D15" s="208">
        <f>DPP_FromNPV(K$15:K$40,$I$15:$I$40,J$15:J$40)</f>
        <v>9.8743021523609311</v>
      </c>
      <c r="E15" s="210">
        <f t="shared" ref="E15:E25" si="2">D15-$B$10</f>
        <v>3.0873187856994706</v>
      </c>
      <c r="F15" s="210">
        <f t="shared" ref="F15:F25" si="3">IF($B$11=0,"",(B15-$B$11)/$B$11)</f>
        <v>-0.5</v>
      </c>
      <c r="G15" s="208">
        <f t="shared" ref="G15:G25" si="4">IF($B$10=0,"",(D15-$B$10)/$B$10)</f>
        <v>0.45488822042275506</v>
      </c>
      <c r="H15" s="252">
        <f t="shared" ref="H15:H25" si="5">IFERROR(G15/F15,NA())</f>
        <v>-0.90977644084551013</v>
      </c>
      <c r="I15" s="222">
        <v>0</v>
      </c>
      <c r="J15" s="209">
        <v>0</v>
      </c>
      <c r="K15" s="209">
        <f>-$B$4</f>
        <v>-9128</v>
      </c>
      <c r="L15" s="209">
        <v>0</v>
      </c>
      <c r="M15" s="209">
        <f>-$B$4</f>
        <v>-9128</v>
      </c>
      <c r="N15" s="209">
        <v>0</v>
      </c>
      <c r="O15" s="209">
        <f>-$B$4</f>
        <v>-9128</v>
      </c>
      <c r="P15" s="209">
        <v>0</v>
      </c>
      <c r="Q15" s="209">
        <f>-$B$4</f>
        <v>-9128</v>
      </c>
      <c r="R15" s="209">
        <v>0</v>
      </c>
      <c r="S15" s="209">
        <f>-$B$4</f>
        <v>-9128</v>
      </c>
      <c r="T15" s="209">
        <v>0</v>
      </c>
      <c r="U15" s="209">
        <f>-$B$4</f>
        <v>-9128</v>
      </c>
      <c r="V15" s="209">
        <v>0</v>
      </c>
      <c r="W15" s="209">
        <f>-$B$4</f>
        <v>-9128</v>
      </c>
      <c r="X15" s="209">
        <v>0</v>
      </c>
      <c r="Y15" s="209">
        <f>-$B$4</f>
        <v>-9128</v>
      </c>
      <c r="Z15" s="209">
        <v>0</v>
      </c>
      <c r="AA15" s="209">
        <f>-$B$4</f>
        <v>-9128</v>
      </c>
      <c r="AB15" s="209">
        <v>0</v>
      </c>
      <c r="AC15" s="209">
        <f>-$B$4</f>
        <v>-9128</v>
      </c>
      <c r="AD15" s="209">
        <v>0</v>
      </c>
      <c r="AE15" s="209">
        <f>-$B$4</f>
        <v>-9128</v>
      </c>
    </row>
    <row r="16" spans="1:31" ht="22.15" customHeight="1" x14ac:dyDescent="0.25">
      <c r="A16" s="210">
        <v>-0.4</v>
      </c>
      <c r="B16" s="209">
        <f t="shared" si="0"/>
        <v>0.12</v>
      </c>
      <c r="C16" s="251">
        <f t="shared" si="1"/>
        <v>12597.495415167919</v>
      </c>
      <c r="D16" s="208">
        <f>DPP_FromNPV(M$15:M$40,$I$15:$I$40,L$15:L$40)</f>
        <v>9.0494585985869858</v>
      </c>
      <c r="E16" s="210">
        <f t="shared" si="2"/>
        <v>2.2624752319255252</v>
      </c>
      <c r="F16" s="210">
        <f t="shared" si="3"/>
        <v>-0.40000000000000008</v>
      </c>
      <c r="G16" s="208">
        <f t="shared" si="4"/>
        <v>0.33335505771814561</v>
      </c>
      <c r="H16" s="252">
        <f t="shared" si="5"/>
        <v>-0.83338764429536383</v>
      </c>
      <c r="I16" s="222">
        <v>1</v>
      </c>
      <c r="J16" s="209">
        <f t="shared" ref="J16:J40" si="6">($B$5+$B$12*($B$15-$B$11))/(1+$B$7)^$I16</f>
        <v>1007.8327450980394</v>
      </c>
      <c r="K16" s="209">
        <f t="shared" ref="K16:K40" si="7">K15+J16</f>
        <v>-8120.1672549019604</v>
      </c>
      <c r="L16" s="209">
        <f t="shared" ref="L16:L40" si="8">($B$5+$B$12*($B$16-$B$11))/(1+$B$7)^$I16</f>
        <v>1090.97</v>
      </c>
      <c r="M16" s="209">
        <f t="shared" ref="M16:M40" si="9">M15+L16</f>
        <v>-8037.03</v>
      </c>
      <c r="N16" s="209">
        <f t="shared" ref="N16:N40" si="10">($B$5+$B$12*($B$17-$B$11))/(1+$B$7)^$I16</f>
        <v>1174.1072549019609</v>
      </c>
      <c r="O16" s="209">
        <f t="shared" ref="O16:O40" si="11">O15+N16</f>
        <v>-7953.8927450980391</v>
      </c>
      <c r="P16" s="209">
        <f t="shared" ref="P16:P40" si="12">($B$5+$B$12*($B$18-$B$11))/(1+$B$7)^$I16</f>
        <v>1257.2445098039218</v>
      </c>
      <c r="Q16" s="209">
        <f t="shared" ref="Q16:Q40" si="13">Q15+P16</f>
        <v>-7870.7554901960784</v>
      </c>
      <c r="R16" s="209">
        <f t="shared" ref="R16:R40" si="14">($B$5+$B$12*($B$19-$B$11))/(1+$B$7)^$I16</f>
        <v>1340.3817647058825</v>
      </c>
      <c r="S16" s="209">
        <f t="shared" ref="S16:S40" si="15">S15+R16</f>
        <v>-7787.6182352941178</v>
      </c>
      <c r="T16" s="209">
        <f t="shared" ref="T16:T40" si="16">($B$5+$B$12*($B$20-$B$11))/(1+$B$7)^$I16</f>
        <v>1423.5190196078433</v>
      </c>
      <c r="U16" s="209">
        <f t="shared" ref="U16:U40" si="17">U15+T16</f>
        <v>-7704.4809803921562</v>
      </c>
      <c r="V16" s="209">
        <f t="shared" ref="V16:V40" si="18">($B$5+$B$12*($B$21-$B$11))/(1+$B$7)^$I16</f>
        <v>1506.656274509804</v>
      </c>
      <c r="W16" s="209">
        <f t="shared" ref="W16:W40" si="19">W15+V16</f>
        <v>-7621.3437254901964</v>
      </c>
      <c r="X16" s="209">
        <f t="shared" ref="X16:X40" si="20">($B$5+$B$12*($B$22-$B$11))/(1+$B$7)^$I16</f>
        <v>1589.7935294117647</v>
      </c>
      <c r="Y16" s="209">
        <f t="shared" ref="Y16:Y40" si="21">Y15+X16</f>
        <v>-7538.2064705882349</v>
      </c>
      <c r="Z16" s="209">
        <f t="shared" ref="Z16:Z40" si="22">($B$5+$B$12*($B$23-$B$11))/(1+$B$7)^$I16</f>
        <v>1672.9307843137256</v>
      </c>
      <c r="AA16" s="209">
        <f t="shared" ref="AA16:AA40" si="23">AA15+Z16</f>
        <v>-7455.0692156862742</v>
      </c>
      <c r="AB16" s="209">
        <f t="shared" ref="AB16:AB40" si="24">($B$5+$B$12*($B$24-$B$11))/(1+$B$7)^$I16</f>
        <v>1756.0680392156862</v>
      </c>
      <c r="AC16" s="209">
        <f t="shared" ref="AC16:AC40" si="25">AC15+AB16</f>
        <v>-7371.9319607843136</v>
      </c>
      <c r="AD16" s="209">
        <f t="shared" ref="AD16:AD40" si="26">($B$5+$B$12*($B$25-$B$11))/(1+$B$7)^$I16</f>
        <v>1839.2052941176473</v>
      </c>
      <c r="AE16" s="209">
        <f t="shared" ref="AE16:AE40" si="27">AE15+AD16</f>
        <v>-7288.7947058823529</v>
      </c>
    </row>
    <row r="17" spans="1:31" ht="22.15" customHeight="1" x14ac:dyDescent="0.25">
      <c r="A17" s="210">
        <v>-0.3</v>
      </c>
      <c r="B17" s="209">
        <f t="shared" si="0"/>
        <v>0.13999999999999999</v>
      </c>
      <c r="C17" s="251">
        <f t="shared" si="1"/>
        <v>14253.084524128011</v>
      </c>
      <c r="D17" s="208">
        <f>DPP_FromNPV(O$15:O$40,$I$15:$I$40,N$15:N$40)</f>
        <v>8.3543407751787431</v>
      </c>
      <c r="E17" s="210">
        <f t="shared" si="2"/>
        <v>1.5673574085172826</v>
      </c>
      <c r="F17" s="210">
        <f t="shared" si="3"/>
        <v>-0.3000000000000001</v>
      </c>
      <c r="G17" s="208">
        <f t="shared" si="4"/>
        <v>0.23093579633867156</v>
      </c>
      <c r="H17" s="252">
        <f t="shared" si="5"/>
        <v>-0.76978598779557161</v>
      </c>
      <c r="I17" s="222">
        <v>2</v>
      </c>
      <c r="J17" s="209">
        <f t="shared" si="6"/>
        <v>988.07131872356797</v>
      </c>
      <c r="K17" s="209">
        <f t="shared" si="7"/>
        <v>-7132.0959361783925</v>
      </c>
      <c r="L17" s="209">
        <f t="shared" si="8"/>
        <v>1069.5784313725492</v>
      </c>
      <c r="M17" s="209">
        <f t="shared" si="9"/>
        <v>-6967.4515686274508</v>
      </c>
      <c r="N17" s="209">
        <f t="shared" si="10"/>
        <v>1151.0855440215303</v>
      </c>
      <c r="O17" s="209">
        <f t="shared" si="11"/>
        <v>-6802.807201076509</v>
      </c>
      <c r="P17" s="209">
        <f t="shared" si="12"/>
        <v>1232.5926566705116</v>
      </c>
      <c r="Q17" s="209">
        <f t="shared" si="13"/>
        <v>-6638.1628335255664</v>
      </c>
      <c r="R17" s="209">
        <f t="shared" si="14"/>
        <v>1314.0997693194927</v>
      </c>
      <c r="S17" s="209">
        <f t="shared" si="15"/>
        <v>-6473.5184659746246</v>
      </c>
      <c r="T17" s="209">
        <f t="shared" si="16"/>
        <v>1395.6068819684738</v>
      </c>
      <c r="U17" s="209">
        <f t="shared" si="17"/>
        <v>-6308.8740984236829</v>
      </c>
      <c r="V17" s="209">
        <f t="shared" si="18"/>
        <v>1477.1139946174549</v>
      </c>
      <c r="W17" s="209">
        <f t="shared" si="19"/>
        <v>-6144.2297308727411</v>
      </c>
      <c r="X17" s="209">
        <f t="shared" si="20"/>
        <v>1558.621107266436</v>
      </c>
      <c r="Y17" s="209">
        <f t="shared" si="21"/>
        <v>-5979.5853633217994</v>
      </c>
      <c r="Z17" s="209">
        <f t="shared" si="22"/>
        <v>1640.1282199154173</v>
      </c>
      <c r="AA17" s="209">
        <f t="shared" si="23"/>
        <v>-5814.9409957708567</v>
      </c>
      <c r="AB17" s="209">
        <f t="shared" si="24"/>
        <v>1721.6353325643984</v>
      </c>
      <c r="AC17" s="209">
        <f t="shared" si="25"/>
        <v>-5650.296628219915</v>
      </c>
      <c r="AD17" s="209">
        <f t="shared" si="26"/>
        <v>1803.1424452133799</v>
      </c>
      <c r="AE17" s="209">
        <f t="shared" si="27"/>
        <v>-5485.6522606689732</v>
      </c>
    </row>
    <row r="18" spans="1:31" ht="22.15" customHeight="1" x14ac:dyDescent="0.25">
      <c r="A18" s="210">
        <v>-0.2</v>
      </c>
      <c r="B18" s="209">
        <f t="shared" si="0"/>
        <v>0.16000000000000003</v>
      </c>
      <c r="C18" s="251">
        <f t="shared" si="1"/>
        <v>15908.67363308811</v>
      </c>
      <c r="D18" s="208">
        <f>DPP_FromNPV(Q$15:Q$40,$I$15:$I$40,P$15:P$40)</f>
        <v>7.7568587976439449</v>
      </c>
      <c r="E18" s="210">
        <f t="shared" si="2"/>
        <v>0.96987543098248441</v>
      </c>
      <c r="F18" s="210">
        <f t="shared" si="3"/>
        <v>-0.1999999999999999</v>
      </c>
      <c r="G18" s="208">
        <f t="shared" si="4"/>
        <v>0.14290228494542037</v>
      </c>
      <c r="H18" s="252">
        <f t="shared" si="5"/>
        <v>-0.71451142472710216</v>
      </c>
      <c r="I18" s="222">
        <v>3</v>
      </c>
      <c r="J18" s="209">
        <f t="shared" si="6"/>
        <v>968.69737129761575</v>
      </c>
      <c r="K18" s="209">
        <f t="shared" si="7"/>
        <v>-6163.3985648807766</v>
      </c>
      <c r="L18" s="209">
        <f t="shared" si="8"/>
        <v>1048.606305267205</v>
      </c>
      <c r="M18" s="209">
        <f t="shared" si="9"/>
        <v>-5918.8452633602456</v>
      </c>
      <c r="N18" s="209">
        <f t="shared" si="10"/>
        <v>1128.5152392367945</v>
      </c>
      <c r="O18" s="209">
        <f t="shared" si="11"/>
        <v>-5674.2919618397145</v>
      </c>
      <c r="P18" s="209">
        <f t="shared" si="12"/>
        <v>1208.424173206384</v>
      </c>
      <c r="Q18" s="209">
        <f t="shared" si="13"/>
        <v>-5429.7386603191826</v>
      </c>
      <c r="R18" s="209">
        <f t="shared" si="14"/>
        <v>1288.3331071759733</v>
      </c>
      <c r="S18" s="209">
        <f t="shared" si="15"/>
        <v>-5185.1853587986516</v>
      </c>
      <c r="T18" s="209">
        <f t="shared" si="16"/>
        <v>1368.2420411455626</v>
      </c>
      <c r="U18" s="209">
        <f t="shared" si="17"/>
        <v>-4940.6320572781206</v>
      </c>
      <c r="V18" s="209">
        <f t="shared" si="18"/>
        <v>1448.1509751151521</v>
      </c>
      <c r="W18" s="209">
        <f t="shared" si="19"/>
        <v>-4696.0787557575895</v>
      </c>
      <c r="X18" s="209">
        <f t="shared" si="20"/>
        <v>1528.0599090847413</v>
      </c>
      <c r="Y18" s="209">
        <f t="shared" si="21"/>
        <v>-4451.5254542370585</v>
      </c>
      <c r="Z18" s="209">
        <f t="shared" si="22"/>
        <v>1607.9688430543306</v>
      </c>
      <c r="AA18" s="209">
        <f t="shared" si="23"/>
        <v>-4206.9721527165257</v>
      </c>
      <c r="AB18" s="209">
        <f t="shared" si="24"/>
        <v>1687.8777770239201</v>
      </c>
      <c r="AC18" s="209">
        <f t="shared" si="25"/>
        <v>-3962.4188511959946</v>
      </c>
      <c r="AD18" s="209">
        <f t="shared" si="26"/>
        <v>1767.7867109935098</v>
      </c>
      <c r="AE18" s="209">
        <f t="shared" si="27"/>
        <v>-3717.8655496754636</v>
      </c>
    </row>
    <row r="19" spans="1:31" ht="22.15" customHeight="1" x14ac:dyDescent="0.25">
      <c r="A19" s="210">
        <v>-0.1</v>
      </c>
      <c r="B19" s="209">
        <f t="shared" si="0"/>
        <v>0.18000000000000002</v>
      </c>
      <c r="C19" s="251">
        <f t="shared" si="1"/>
        <v>17564.262742048206</v>
      </c>
      <c r="D19" s="208">
        <f>DPP_FromNPV(S$15:S$40,$I$15:$I$40,R$15:R$40)</f>
        <v>7.2395805028518607</v>
      </c>
      <c r="E19" s="210">
        <f t="shared" si="2"/>
        <v>0.45259713619040021</v>
      </c>
      <c r="F19" s="210">
        <f t="shared" si="3"/>
        <v>-9.999999999999995E-2</v>
      </c>
      <c r="G19" s="208">
        <f t="shared" si="4"/>
        <v>6.6686053543849225E-2</v>
      </c>
      <c r="H19" s="252">
        <f t="shared" si="5"/>
        <v>-0.66686053543849255</v>
      </c>
      <c r="I19" s="222">
        <v>4</v>
      </c>
      <c r="J19" s="209">
        <f t="shared" si="6"/>
        <v>949.7033051937409</v>
      </c>
      <c r="K19" s="209">
        <f t="shared" si="7"/>
        <v>-5213.695259687036</v>
      </c>
      <c r="L19" s="209">
        <f t="shared" si="8"/>
        <v>1028.0453973207893</v>
      </c>
      <c r="M19" s="209">
        <f t="shared" si="9"/>
        <v>-4890.799866039456</v>
      </c>
      <c r="N19" s="209">
        <f t="shared" si="10"/>
        <v>1106.3874894478377</v>
      </c>
      <c r="O19" s="209">
        <f t="shared" si="11"/>
        <v>-4567.9044723918769</v>
      </c>
      <c r="P19" s="209">
        <f t="shared" si="12"/>
        <v>1184.7295815748862</v>
      </c>
      <c r="Q19" s="209">
        <f t="shared" si="13"/>
        <v>-4245.0090787442969</v>
      </c>
      <c r="R19" s="209">
        <f t="shared" si="14"/>
        <v>1263.0716737019345</v>
      </c>
      <c r="S19" s="209">
        <f t="shared" si="15"/>
        <v>-3922.1136850967168</v>
      </c>
      <c r="T19" s="209">
        <f t="shared" si="16"/>
        <v>1341.4137658289828</v>
      </c>
      <c r="U19" s="209">
        <f t="shared" si="17"/>
        <v>-3599.2182914491377</v>
      </c>
      <c r="V19" s="209">
        <f t="shared" si="18"/>
        <v>1419.7558579560314</v>
      </c>
      <c r="W19" s="209">
        <f t="shared" si="19"/>
        <v>-3276.3228978015582</v>
      </c>
      <c r="X19" s="209">
        <f t="shared" si="20"/>
        <v>1498.0979500830797</v>
      </c>
      <c r="Y19" s="209">
        <f t="shared" si="21"/>
        <v>-2953.4275041539786</v>
      </c>
      <c r="Z19" s="209">
        <f t="shared" si="22"/>
        <v>1576.440042210128</v>
      </c>
      <c r="AA19" s="209">
        <f t="shared" si="23"/>
        <v>-2630.5321105063977</v>
      </c>
      <c r="AB19" s="209">
        <f t="shared" si="24"/>
        <v>1654.7821343371763</v>
      </c>
      <c r="AC19" s="209">
        <f t="shared" si="25"/>
        <v>-2307.6367168588185</v>
      </c>
      <c r="AD19" s="209">
        <f t="shared" si="26"/>
        <v>1733.1242264642251</v>
      </c>
      <c r="AE19" s="209">
        <f t="shared" si="27"/>
        <v>-1984.7413232112385</v>
      </c>
    </row>
    <row r="20" spans="1:31" ht="22.15" customHeight="1" x14ac:dyDescent="0.25">
      <c r="A20" s="210">
        <v>0</v>
      </c>
      <c r="B20" s="209">
        <f t="shared" si="0"/>
        <v>0.2</v>
      </c>
      <c r="C20" s="251">
        <f t="shared" si="1"/>
        <v>19219.851851008301</v>
      </c>
      <c r="D20" s="208">
        <f>DPP_FromNPV(U$15:U$40,$I$15:$I$40,T$15:T$40)</f>
        <v>6.7869833666614596</v>
      </c>
      <c r="E20" s="210">
        <f t="shared" si="2"/>
        <v>0</v>
      </c>
      <c r="F20" s="210">
        <f t="shared" si="3"/>
        <v>0</v>
      </c>
      <c r="G20" s="208">
        <f t="shared" si="4"/>
        <v>-1.3086497663497636E-16</v>
      </c>
      <c r="H20" s="252" t="e">
        <f t="shared" si="5"/>
        <v>#N/A</v>
      </c>
      <c r="I20" s="222">
        <v>5</v>
      </c>
      <c r="J20" s="209">
        <f t="shared" si="6"/>
        <v>931.08167175856943</v>
      </c>
      <c r="K20" s="209">
        <f t="shared" si="7"/>
        <v>-4282.6135879284666</v>
      </c>
      <c r="L20" s="209">
        <f t="shared" si="8"/>
        <v>1007.8876444321463</v>
      </c>
      <c r="M20" s="209">
        <f t="shared" si="9"/>
        <v>-3882.9122216073097</v>
      </c>
      <c r="N20" s="209">
        <f t="shared" si="10"/>
        <v>1084.6936171057232</v>
      </c>
      <c r="O20" s="209">
        <f t="shared" si="11"/>
        <v>-3483.2108552861537</v>
      </c>
      <c r="P20" s="209">
        <f t="shared" si="12"/>
        <v>1161.4995897793001</v>
      </c>
      <c r="Q20" s="209">
        <f t="shared" si="13"/>
        <v>-3083.5094889649968</v>
      </c>
      <c r="R20" s="209">
        <f t="shared" si="14"/>
        <v>1238.305562452877</v>
      </c>
      <c r="S20" s="209">
        <f t="shared" si="15"/>
        <v>-2683.8081226438399</v>
      </c>
      <c r="T20" s="209">
        <f t="shared" si="16"/>
        <v>1315.1115351264539</v>
      </c>
      <c r="U20" s="209">
        <f t="shared" si="17"/>
        <v>-2284.1067563226839</v>
      </c>
      <c r="V20" s="209">
        <f t="shared" si="18"/>
        <v>1391.9175078000305</v>
      </c>
      <c r="W20" s="209">
        <f t="shared" si="19"/>
        <v>-1884.4053900015276</v>
      </c>
      <c r="X20" s="209">
        <f t="shared" si="20"/>
        <v>1468.7234804736074</v>
      </c>
      <c r="Y20" s="209">
        <f t="shared" si="21"/>
        <v>-1484.7040236803712</v>
      </c>
      <c r="Z20" s="209">
        <f t="shared" si="22"/>
        <v>1545.5294531471843</v>
      </c>
      <c r="AA20" s="209">
        <f t="shared" si="23"/>
        <v>-1085.0026573592133</v>
      </c>
      <c r="AB20" s="209">
        <f t="shared" si="24"/>
        <v>1622.3354258207612</v>
      </c>
      <c r="AC20" s="209">
        <f t="shared" si="25"/>
        <v>-685.30129103805734</v>
      </c>
      <c r="AD20" s="209">
        <f t="shared" si="26"/>
        <v>1699.1413984943383</v>
      </c>
      <c r="AE20" s="209">
        <f t="shared" si="27"/>
        <v>-285.5999247169002</v>
      </c>
    </row>
    <row r="21" spans="1:31" ht="22.15" customHeight="1" x14ac:dyDescent="0.25">
      <c r="A21" s="210">
        <v>0.1</v>
      </c>
      <c r="B21" s="209">
        <f t="shared" si="0"/>
        <v>0.22000000000000003</v>
      </c>
      <c r="C21" s="251">
        <f t="shared" si="1"/>
        <v>20875.440959968393</v>
      </c>
      <c r="D21" s="208">
        <f>DPP_FromNPV(W$15:W$40,$I$15:$I$40,V$15:V$40)</f>
        <v>6.3885140511353127</v>
      </c>
      <c r="E21" s="210">
        <f t="shared" si="2"/>
        <v>-0.39846931552614784</v>
      </c>
      <c r="F21" s="210">
        <f t="shared" si="3"/>
        <v>0.10000000000000009</v>
      </c>
      <c r="G21" s="208">
        <f t="shared" si="4"/>
        <v>-5.8710813626489881E-2</v>
      </c>
      <c r="H21" s="252">
        <f t="shared" si="5"/>
        <v>-0.58710813626489833</v>
      </c>
      <c r="I21" s="222">
        <v>6</v>
      </c>
      <c r="J21" s="209">
        <f t="shared" si="6"/>
        <v>912.82516839075436</v>
      </c>
      <c r="K21" s="209">
        <f t="shared" si="7"/>
        <v>-3369.7884195377123</v>
      </c>
      <c r="L21" s="209">
        <f t="shared" si="8"/>
        <v>988.12514160014337</v>
      </c>
      <c r="M21" s="209">
        <f t="shared" si="9"/>
        <v>-2894.7870800071664</v>
      </c>
      <c r="N21" s="209">
        <f t="shared" si="10"/>
        <v>1063.4251148095325</v>
      </c>
      <c r="O21" s="209">
        <f t="shared" si="11"/>
        <v>-2419.785740476621</v>
      </c>
      <c r="P21" s="209">
        <f t="shared" si="12"/>
        <v>1138.7250880189217</v>
      </c>
      <c r="Q21" s="209">
        <f t="shared" si="13"/>
        <v>-1944.784400946075</v>
      </c>
      <c r="R21" s="209">
        <f t="shared" si="14"/>
        <v>1214.0250612283107</v>
      </c>
      <c r="S21" s="209">
        <f t="shared" si="15"/>
        <v>-1469.7830614155291</v>
      </c>
      <c r="T21" s="209">
        <f t="shared" si="16"/>
        <v>1289.3250344376997</v>
      </c>
      <c r="U21" s="209">
        <f t="shared" si="17"/>
        <v>-994.78172188498411</v>
      </c>
      <c r="V21" s="209">
        <f t="shared" si="18"/>
        <v>1364.6250076470888</v>
      </c>
      <c r="W21" s="209">
        <f t="shared" si="19"/>
        <v>-519.78038235443887</v>
      </c>
      <c r="X21" s="209">
        <f t="shared" si="20"/>
        <v>1439.9249808564778</v>
      </c>
      <c r="Y21" s="209">
        <f t="shared" si="21"/>
        <v>-44.779042823893406</v>
      </c>
      <c r="Z21" s="209">
        <f t="shared" si="22"/>
        <v>1515.2249540658668</v>
      </c>
      <c r="AA21" s="209">
        <f t="shared" si="23"/>
        <v>430.22229670665342</v>
      </c>
      <c r="AB21" s="209">
        <f t="shared" si="24"/>
        <v>1590.524927275256</v>
      </c>
      <c r="AC21" s="209">
        <f t="shared" si="25"/>
        <v>905.22363623719866</v>
      </c>
      <c r="AD21" s="209">
        <f t="shared" si="26"/>
        <v>1665.8249004846455</v>
      </c>
      <c r="AE21" s="209">
        <f t="shared" si="27"/>
        <v>1380.2249757677453</v>
      </c>
    </row>
    <row r="22" spans="1:31" ht="22.15" customHeight="1" x14ac:dyDescent="0.25">
      <c r="A22" s="210">
        <v>0.2</v>
      </c>
      <c r="B22" s="209">
        <f t="shared" si="0"/>
        <v>0.24</v>
      </c>
      <c r="C22" s="251">
        <f t="shared" si="1"/>
        <v>22531.030068928489</v>
      </c>
      <c r="D22" s="208">
        <f>DPP_FromNPV(Y$15:Y$40,$I$15:$I$40,X$15:X$40)</f>
        <v>6.031720141179302</v>
      </c>
      <c r="E22" s="210">
        <f t="shared" si="2"/>
        <v>-0.75526322548215852</v>
      </c>
      <c r="F22" s="210">
        <f t="shared" si="3"/>
        <v>0.1999999999999999</v>
      </c>
      <c r="G22" s="208">
        <f t="shared" si="4"/>
        <v>-0.11128113694695482</v>
      </c>
      <c r="H22" s="252">
        <f t="shared" si="5"/>
        <v>-0.55640568473477436</v>
      </c>
      <c r="I22" s="222">
        <v>7</v>
      </c>
      <c r="J22" s="209">
        <f t="shared" si="6"/>
        <v>894.92663567721036</v>
      </c>
      <c r="K22" s="209">
        <f t="shared" si="7"/>
        <v>-2474.8617838605019</v>
      </c>
      <c r="L22" s="209">
        <f t="shared" si="8"/>
        <v>968.75013882367023</v>
      </c>
      <c r="M22" s="209">
        <f t="shared" si="9"/>
        <v>-1926.0369411834963</v>
      </c>
      <c r="N22" s="209">
        <f t="shared" si="10"/>
        <v>1042.57364197013</v>
      </c>
      <c r="O22" s="209">
        <f t="shared" si="11"/>
        <v>-1377.212098506491</v>
      </c>
      <c r="P22" s="209">
        <f t="shared" si="12"/>
        <v>1116.3971451165901</v>
      </c>
      <c r="Q22" s="209">
        <f t="shared" si="13"/>
        <v>-828.38725582948496</v>
      </c>
      <c r="R22" s="209">
        <f t="shared" si="14"/>
        <v>1190.22064826305</v>
      </c>
      <c r="S22" s="209">
        <f t="shared" si="15"/>
        <v>-279.56241315247917</v>
      </c>
      <c r="T22" s="209">
        <f t="shared" si="16"/>
        <v>1264.0441514095098</v>
      </c>
      <c r="U22" s="209">
        <f t="shared" si="17"/>
        <v>269.26242952452571</v>
      </c>
      <c r="V22" s="209">
        <f t="shared" si="18"/>
        <v>1337.8676545559697</v>
      </c>
      <c r="W22" s="209">
        <f t="shared" si="19"/>
        <v>818.08727220153082</v>
      </c>
      <c r="X22" s="209">
        <f t="shared" si="20"/>
        <v>1411.6911577024296</v>
      </c>
      <c r="Y22" s="209">
        <f t="shared" si="21"/>
        <v>1366.9121148785362</v>
      </c>
      <c r="Z22" s="209">
        <f t="shared" si="22"/>
        <v>1485.5146608488894</v>
      </c>
      <c r="AA22" s="209">
        <f t="shared" si="23"/>
        <v>1915.7369575555429</v>
      </c>
      <c r="AB22" s="209">
        <f t="shared" si="24"/>
        <v>1559.3381639953493</v>
      </c>
      <c r="AC22" s="209">
        <f t="shared" si="25"/>
        <v>2464.5618002325482</v>
      </c>
      <c r="AD22" s="209">
        <f t="shared" si="26"/>
        <v>1633.1616671418096</v>
      </c>
      <c r="AE22" s="209">
        <f t="shared" si="27"/>
        <v>3013.3866429095551</v>
      </c>
    </row>
    <row r="23" spans="1:31" ht="22.15" customHeight="1" x14ac:dyDescent="0.25">
      <c r="A23" s="210">
        <v>0.3</v>
      </c>
      <c r="B23" s="209">
        <f t="shared" si="0"/>
        <v>0.26</v>
      </c>
      <c r="C23" s="251">
        <f t="shared" si="1"/>
        <v>24186.619177888584</v>
      </c>
      <c r="D23" s="208">
        <f>DPP_FromNPV(AA$15:AA$40,$I$15:$I$40,Z$15:Z$40)</f>
        <v>5.7160670463140013</v>
      </c>
      <c r="E23" s="210">
        <f t="shared" si="2"/>
        <v>-1.0709163203474592</v>
      </c>
      <c r="F23" s="210">
        <f t="shared" si="3"/>
        <v>0.3</v>
      </c>
      <c r="G23" s="208">
        <f t="shared" si="4"/>
        <v>-0.15778973698505563</v>
      </c>
      <c r="H23" s="252">
        <f t="shared" si="5"/>
        <v>-0.5259657899501855</v>
      </c>
      <c r="I23" s="222">
        <v>8</v>
      </c>
      <c r="J23" s="209">
        <f t="shared" si="6"/>
        <v>877.37905458550028</v>
      </c>
      <c r="K23" s="209">
        <f t="shared" si="7"/>
        <v>-1597.4827292750015</v>
      </c>
      <c r="L23" s="209">
        <f t="shared" si="8"/>
        <v>949.7550380624217</v>
      </c>
      <c r="M23" s="209">
        <f t="shared" si="9"/>
        <v>-976.28190312107461</v>
      </c>
      <c r="N23" s="209">
        <f t="shared" si="10"/>
        <v>1022.1310215393431</v>
      </c>
      <c r="O23" s="209">
        <f t="shared" si="11"/>
        <v>-355.08107696714785</v>
      </c>
      <c r="P23" s="209">
        <f t="shared" si="12"/>
        <v>1094.5070050162647</v>
      </c>
      <c r="Q23" s="209">
        <f t="shared" si="13"/>
        <v>266.1197491867797</v>
      </c>
      <c r="R23" s="209">
        <f t="shared" si="14"/>
        <v>1166.8829884931861</v>
      </c>
      <c r="S23" s="209">
        <f t="shared" si="15"/>
        <v>887.32057534070691</v>
      </c>
      <c r="T23" s="209">
        <f t="shared" si="16"/>
        <v>1239.2589719701075</v>
      </c>
      <c r="U23" s="209">
        <f t="shared" si="17"/>
        <v>1508.5214014946332</v>
      </c>
      <c r="V23" s="209">
        <f t="shared" si="18"/>
        <v>1311.6349554470289</v>
      </c>
      <c r="W23" s="209">
        <f t="shared" si="19"/>
        <v>2129.72222764856</v>
      </c>
      <c r="X23" s="209">
        <f t="shared" si="20"/>
        <v>1384.0109389239503</v>
      </c>
      <c r="Y23" s="209">
        <f t="shared" si="21"/>
        <v>2750.9230538024867</v>
      </c>
      <c r="Z23" s="209">
        <f t="shared" si="22"/>
        <v>1456.3869224008718</v>
      </c>
      <c r="AA23" s="209">
        <f t="shared" si="23"/>
        <v>3372.1238799564144</v>
      </c>
      <c r="AB23" s="209">
        <f t="shared" si="24"/>
        <v>1528.7629058777932</v>
      </c>
      <c r="AC23" s="209">
        <f t="shared" si="25"/>
        <v>3993.3247061103411</v>
      </c>
      <c r="AD23" s="209">
        <f t="shared" si="26"/>
        <v>1601.138889354715</v>
      </c>
      <c r="AE23" s="209">
        <f t="shared" si="27"/>
        <v>4614.5255322642697</v>
      </c>
    </row>
    <row r="24" spans="1:31" ht="22.15" customHeight="1" x14ac:dyDescent="0.25">
      <c r="A24" s="214">
        <v>0.4</v>
      </c>
      <c r="B24" s="209">
        <f t="shared" si="0"/>
        <v>0.27999999999999997</v>
      </c>
      <c r="C24" s="251">
        <f t="shared" si="1"/>
        <v>25842.208286848676</v>
      </c>
      <c r="D24" s="208">
        <f>DPP_FromNPV(AC$15:AC$40,$I$15:$I$40,AB$15:AB$40)</f>
        <v>5.4308648542918805</v>
      </c>
      <c r="E24" s="210">
        <f t="shared" si="2"/>
        <v>-1.35611851236958</v>
      </c>
      <c r="F24" s="210">
        <f t="shared" si="3"/>
        <v>0.3999999999999998</v>
      </c>
      <c r="G24" s="208">
        <f t="shared" si="4"/>
        <v>-0.19981167465814184</v>
      </c>
      <c r="H24" s="252">
        <f t="shared" si="5"/>
        <v>-0.49952918664535484</v>
      </c>
      <c r="I24" s="222">
        <v>9</v>
      </c>
      <c r="J24" s="209">
        <f t="shared" si="6"/>
        <v>860.17554371127471</v>
      </c>
      <c r="K24" s="209">
        <f t="shared" si="7"/>
        <v>-737.30718556372676</v>
      </c>
      <c r="L24" s="209">
        <f t="shared" si="8"/>
        <v>931.13239025727614</v>
      </c>
      <c r="M24" s="209">
        <f t="shared" si="9"/>
        <v>-45.149512863798464</v>
      </c>
      <c r="N24" s="209">
        <f t="shared" si="10"/>
        <v>1002.0892368032776</v>
      </c>
      <c r="O24" s="209">
        <f t="shared" si="11"/>
        <v>647.00815983612972</v>
      </c>
      <c r="P24" s="209">
        <f t="shared" si="12"/>
        <v>1073.0460833492791</v>
      </c>
      <c r="Q24" s="209">
        <f t="shared" si="13"/>
        <v>1339.1658325360588</v>
      </c>
      <c r="R24" s="209">
        <f t="shared" si="14"/>
        <v>1144.0029298952804</v>
      </c>
      <c r="S24" s="209">
        <f t="shared" si="15"/>
        <v>2031.3235052359873</v>
      </c>
      <c r="T24" s="209">
        <f t="shared" si="16"/>
        <v>1214.959776441282</v>
      </c>
      <c r="U24" s="209">
        <f t="shared" si="17"/>
        <v>2723.4811779359152</v>
      </c>
      <c r="V24" s="209">
        <f t="shared" si="18"/>
        <v>1285.9166229872833</v>
      </c>
      <c r="W24" s="209">
        <f t="shared" si="19"/>
        <v>3415.6388506358435</v>
      </c>
      <c r="X24" s="209">
        <f t="shared" si="20"/>
        <v>1356.8734695332848</v>
      </c>
      <c r="Y24" s="209">
        <f t="shared" si="21"/>
        <v>4107.7965233357718</v>
      </c>
      <c r="Z24" s="209">
        <f t="shared" si="22"/>
        <v>1427.8303160792861</v>
      </c>
      <c r="AA24" s="209">
        <f t="shared" si="23"/>
        <v>4799.9541960357001</v>
      </c>
      <c r="AB24" s="209">
        <f t="shared" si="24"/>
        <v>1498.7871626252875</v>
      </c>
      <c r="AC24" s="209">
        <f t="shared" si="25"/>
        <v>5492.1118687356284</v>
      </c>
      <c r="AD24" s="209">
        <f t="shared" si="26"/>
        <v>1569.7440091712892</v>
      </c>
      <c r="AE24" s="209">
        <f t="shared" si="27"/>
        <v>6184.2695414355585</v>
      </c>
    </row>
    <row r="25" spans="1:31" ht="22.15" customHeight="1" x14ac:dyDescent="0.25">
      <c r="A25" s="210">
        <v>0.5</v>
      </c>
      <c r="B25" s="209">
        <f t="shared" si="0"/>
        <v>0.30000000000000004</v>
      </c>
      <c r="C25" s="251">
        <f t="shared" si="1"/>
        <v>27497.797395808782</v>
      </c>
      <c r="D25" s="208">
        <f>DPP_FromNPV(AE$15:AE$40,$I$15:$I$40,AD$15:AD$40)</f>
        <v>5.1714465455725929</v>
      </c>
      <c r="E25" s="210">
        <f t="shared" si="2"/>
        <v>-1.6155368210888676</v>
      </c>
      <c r="F25" s="210">
        <f t="shared" si="3"/>
        <v>0.50000000000000011</v>
      </c>
      <c r="G25" s="208">
        <f t="shared" si="4"/>
        <v>-0.23803459266227073</v>
      </c>
      <c r="H25" s="252">
        <f t="shared" si="5"/>
        <v>-0.47606918532454134</v>
      </c>
      <c r="I25" s="222">
        <v>10</v>
      </c>
      <c r="J25" s="209">
        <f t="shared" si="6"/>
        <v>843.30935657968109</v>
      </c>
      <c r="K25" s="209">
        <f t="shared" si="7"/>
        <v>106.00217101595433</v>
      </c>
      <c r="L25" s="209">
        <f t="shared" si="8"/>
        <v>912.87489240909417</v>
      </c>
      <c r="M25" s="209">
        <f t="shared" si="9"/>
        <v>867.72537954529571</v>
      </c>
      <c r="N25" s="209">
        <f t="shared" si="10"/>
        <v>982.44042823850737</v>
      </c>
      <c r="O25" s="209">
        <f t="shared" si="11"/>
        <v>1629.448588074637</v>
      </c>
      <c r="P25" s="209">
        <f t="shared" si="12"/>
        <v>1052.0059640679208</v>
      </c>
      <c r="Q25" s="209">
        <f t="shared" si="13"/>
        <v>2391.1717966039796</v>
      </c>
      <c r="R25" s="209">
        <f t="shared" si="14"/>
        <v>1121.5714998973338</v>
      </c>
      <c r="S25" s="209">
        <f t="shared" si="15"/>
        <v>3152.8950051333213</v>
      </c>
      <c r="T25" s="209">
        <f t="shared" si="16"/>
        <v>1191.1370357267469</v>
      </c>
      <c r="U25" s="209">
        <f t="shared" si="17"/>
        <v>3914.6182136626621</v>
      </c>
      <c r="V25" s="209">
        <f t="shared" si="18"/>
        <v>1260.7025715561601</v>
      </c>
      <c r="W25" s="209">
        <f t="shared" si="19"/>
        <v>4676.3414221920038</v>
      </c>
      <c r="X25" s="209">
        <f t="shared" si="20"/>
        <v>1330.2681073855731</v>
      </c>
      <c r="Y25" s="209">
        <f t="shared" si="21"/>
        <v>5438.0646307213447</v>
      </c>
      <c r="Z25" s="209">
        <f t="shared" si="22"/>
        <v>1399.8336432149863</v>
      </c>
      <c r="AA25" s="209">
        <f t="shared" si="23"/>
        <v>6199.7878392506864</v>
      </c>
      <c r="AB25" s="209">
        <f t="shared" si="24"/>
        <v>1469.3991790443995</v>
      </c>
      <c r="AC25" s="209">
        <f t="shared" si="25"/>
        <v>6961.5110477800281</v>
      </c>
      <c r="AD25" s="209">
        <f t="shared" si="26"/>
        <v>1538.9647148738129</v>
      </c>
      <c r="AE25" s="209">
        <f t="shared" si="27"/>
        <v>7723.2342563093716</v>
      </c>
    </row>
    <row r="26" spans="1:31" ht="22.15" customHeight="1" x14ac:dyDescent="0.25">
      <c r="A26" s="205"/>
      <c r="B26" s="205"/>
      <c r="C26" s="205"/>
      <c r="D26" s="205"/>
      <c r="E26" s="205"/>
      <c r="F26" s="205"/>
      <c r="G26" s="205"/>
      <c r="H26" s="205"/>
      <c r="I26" s="222">
        <v>11</v>
      </c>
      <c r="J26" s="209">
        <f t="shared" si="6"/>
        <v>826.77387899968755</v>
      </c>
      <c r="K26" s="209">
        <f t="shared" si="7"/>
        <v>932.77605001564189</v>
      </c>
      <c r="L26" s="209">
        <f t="shared" si="8"/>
        <v>894.97538471479845</v>
      </c>
      <c r="M26" s="209">
        <f t="shared" si="9"/>
        <v>1762.7007642600943</v>
      </c>
      <c r="N26" s="209">
        <f t="shared" si="10"/>
        <v>963.17689042990935</v>
      </c>
      <c r="O26" s="209">
        <f t="shared" si="11"/>
        <v>2592.6254785045462</v>
      </c>
      <c r="P26" s="209">
        <f t="shared" si="12"/>
        <v>1031.3783961450204</v>
      </c>
      <c r="Q26" s="209">
        <f t="shared" si="13"/>
        <v>3422.550192749</v>
      </c>
      <c r="R26" s="209">
        <f t="shared" si="14"/>
        <v>1099.5799018601315</v>
      </c>
      <c r="S26" s="209">
        <f t="shared" si="15"/>
        <v>4252.4749069934533</v>
      </c>
      <c r="T26" s="209">
        <f t="shared" si="16"/>
        <v>1167.7814075752424</v>
      </c>
      <c r="U26" s="209">
        <f t="shared" si="17"/>
        <v>5082.3996212379043</v>
      </c>
      <c r="V26" s="209">
        <f t="shared" si="18"/>
        <v>1235.9829132903533</v>
      </c>
      <c r="W26" s="209">
        <f t="shared" si="19"/>
        <v>5912.3243354823571</v>
      </c>
      <c r="X26" s="209">
        <f t="shared" si="20"/>
        <v>1304.1844190054642</v>
      </c>
      <c r="Y26" s="209">
        <f t="shared" si="21"/>
        <v>6742.2490497268091</v>
      </c>
      <c r="Z26" s="209">
        <f t="shared" si="22"/>
        <v>1372.3859247205751</v>
      </c>
      <c r="AA26" s="209">
        <f t="shared" si="23"/>
        <v>7572.173763971261</v>
      </c>
      <c r="AB26" s="209">
        <f t="shared" si="24"/>
        <v>1440.587430435686</v>
      </c>
      <c r="AC26" s="209">
        <f t="shared" si="25"/>
        <v>8402.0984782157138</v>
      </c>
      <c r="AD26" s="209">
        <f t="shared" si="26"/>
        <v>1508.7889361507973</v>
      </c>
      <c r="AE26" s="209">
        <f t="shared" si="27"/>
        <v>9232.0231924601685</v>
      </c>
    </row>
    <row r="27" spans="1:31" ht="22.15" customHeight="1" x14ac:dyDescent="0.25">
      <c r="A27" s="213"/>
      <c r="B27" s="205"/>
      <c r="C27" s="205"/>
      <c r="D27" s="205"/>
      <c r="E27" s="205"/>
      <c r="F27" s="205"/>
      <c r="G27" s="205"/>
      <c r="H27" s="205"/>
      <c r="I27" s="222">
        <v>12</v>
      </c>
      <c r="J27" s="209">
        <f t="shared" si="6"/>
        <v>810.56262647028177</v>
      </c>
      <c r="K27" s="209">
        <f t="shared" si="7"/>
        <v>1743.3386764859238</v>
      </c>
      <c r="L27" s="209">
        <f t="shared" si="8"/>
        <v>877.42684775960618</v>
      </c>
      <c r="M27" s="209">
        <f t="shared" si="9"/>
        <v>2640.1276120197003</v>
      </c>
      <c r="N27" s="209">
        <f t="shared" si="10"/>
        <v>944.29106904893058</v>
      </c>
      <c r="O27" s="209">
        <f t="shared" si="11"/>
        <v>3536.9165475534769</v>
      </c>
      <c r="P27" s="209">
        <f t="shared" si="12"/>
        <v>1011.1552903382552</v>
      </c>
      <c r="Q27" s="209">
        <f t="shared" si="13"/>
        <v>4433.7054830872548</v>
      </c>
      <c r="R27" s="209">
        <f t="shared" si="14"/>
        <v>1078.0195116275795</v>
      </c>
      <c r="S27" s="209">
        <f t="shared" si="15"/>
        <v>5330.4944186210323</v>
      </c>
      <c r="T27" s="209">
        <f t="shared" si="16"/>
        <v>1144.8837329169041</v>
      </c>
      <c r="U27" s="209">
        <f t="shared" si="17"/>
        <v>6227.283354154808</v>
      </c>
      <c r="V27" s="209">
        <f t="shared" si="18"/>
        <v>1211.7479542062285</v>
      </c>
      <c r="W27" s="209">
        <f t="shared" si="19"/>
        <v>7124.0722896885854</v>
      </c>
      <c r="X27" s="209">
        <f t="shared" si="20"/>
        <v>1278.6121754955529</v>
      </c>
      <c r="Y27" s="209">
        <f t="shared" si="21"/>
        <v>8020.861225222362</v>
      </c>
      <c r="Z27" s="209">
        <f t="shared" si="22"/>
        <v>1345.4763967848774</v>
      </c>
      <c r="AA27" s="209">
        <f t="shared" si="23"/>
        <v>8917.6501607561386</v>
      </c>
      <c r="AB27" s="209">
        <f t="shared" si="24"/>
        <v>1412.3406180742018</v>
      </c>
      <c r="AC27" s="209">
        <f t="shared" si="25"/>
        <v>9814.4390962899161</v>
      </c>
      <c r="AD27" s="209">
        <f t="shared" si="26"/>
        <v>1479.2048393635266</v>
      </c>
      <c r="AE27" s="209">
        <f t="shared" si="27"/>
        <v>10711.228031823695</v>
      </c>
    </row>
    <row r="28" spans="1:31" ht="22.15" customHeight="1" x14ac:dyDescent="0.25">
      <c r="A28" s="205"/>
      <c r="B28" s="205"/>
      <c r="C28" s="205"/>
      <c r="D28" s="205"/>
      <c r="E28" s="205"/>
      <c r="F28" s="205"/>
      <c r="G28" s="205"/>
      <c r="H28" s="205"/>
      <c r="I28" s="222">
        <v>13</v>
      </c>
      <c r="J28" s="209">
        <f t="shared" si="6"/>
        <v>794.66924163753117</v>
      </c>
      <c r="K28" s="209">
        <f t="shared" si="7"/>
        <v>2538.0079181234551</v>
      </c>
      <c r="L28" s="209">
        <f t="shared" si="8"/>
        <v>860.22239976431979</v>
      </c>
      <c r="M28" s="209">
        <f t="shared" si="9"/>
        <v>3500.3500117840204</v>
      </c>
      <c r="N28" s="209">
        <f t="shared" si="10"/>
        <v>925.77555789110852</v>
      </c>
      <c r="O28" s="209">
        <f t="shared" si="11"/>
        <v>4462.6921054445856</v>
      </c>
      <c r="P28" s="209">
        <f t="shared" si="12"/>
        <v>991.32871601789725</v>
      </c>
      <c r="Q28" s="209">
        <f t="shared" si="13"/>
        <v>5425.0341991051519</v>
      </c>
      <c r="R28" s="209">
        <f t="shared" si="14"/>
        <v>1056.881874144686</v>
      </c>
      <c r="S28" s="209">
        <f t="shared" si="15"/>
        <v>6387.3762927657181</v>
      </c>
      <c r="T28" s="209">
        <f t="shared" si="16"/>
        <v>1122.4350322714747</v>
      </c>
      <c r="U28" s="209">
        <f t="shared" si="17"/>
        <v>7349.7183864262824</v>
      </c>
      <c r="V28" s="209">
        <f t="shared" si="18"/>
        <v>1187.9881903982632</v>
      </c>
      <c r="W28" s="209">
        <f t="shared" si="19"/>
        <v>8312.0604800868496</v>
      </c>
      <c r="X28" s="209">
        <f t="shared" si="20"/>
        <v>1253.5413485250519</v>
      </c>
      <c r="Y28" s="209">
        <f t="shared" si="21"/>
        <v>9274.4025737474149</v>
      </c>
      <c r="Z28" s="209">
        <f t="shared" si="22"/>
        <v>1319.0945066518407</v>
      </c>
      <c r="AA28" s="209">
        <f t="shared" si="23"/>
        <v>10236.74466740798</v>
      </c>
      <c r="AB28" s="209">
        <f t="shared" si="24"/>
        <v>1384.6476647786292</v>
      </c>
      <c r="AC28" s="209">
        <f t="shared" si="25"/>
        <v>11199.086761068545</v>
      </c>
      <c r="AD28" s="209">
        <f t="shared" si="26"/>
        <v>1450.2008229054184</v>
      </c>
      <c r="AE28" s="209">
        <f t="shared" si="27"/>
        <v>12161.428854729114</v>
      </c>
    </row>
    <row r="29" spans="1:31" ht="22.15" customHeight="1" x14ac:dyDescent="0.25">
      <c r="A29" s="205"/>
      <c r="B29" s="205"/>
      <c r="C29" s="205"/>
      <c r="D29" s="205"/>
      <c r="E29" s="205"/>
      <c r="F29" s="205"/>
      <c r="G29" s="205"/>
      <c r="H29" s="205"/>
      <c r="I29" s="222">
        <v>14</v>
      </c>
      <c r="J29" s="209">
        <f t="shared" si="6"/>
        <v>779.08749180150107</v>
      </c>
      <c r="K29" s="209">
        <f t="shared" si="7"/>
        <v>3317.0954099249561</v>
      </c>
      <c r="L29" s="209">
        <f t="shared" si="8"/>
        <v>843.35529388658802</v>
      </c>
      <c r="M29" s="209">
        <f t="shared" si="9"/>
        <v>4343.7053056706081</v>
      </c>
      <c r="N29" s="209">
        <f t="shared" si="10"/>
        <v>907.62309597167484</v>
      </c>
      <c r="O29" s="209">
        <f t="shared" si="11"/>
        <v>5370.3152014162606</v>
      </c>
      <c r="P29" s="209">
        <f t="shared" si="12"/>
        <v>971.89089805676201</v>
      </c>
      <c r="Q29" s="209">
        <f t="shared" si="13"/>
        <v>6396.925097161914</v>
      </c>
      <c r="R29" s="209">
        <f t="shared" si="14"/>
        <v>1036.1587001418488</v>
      </c>
      <c r="S29" s="209">
        <f t="shared" si="15"/>
        <v>7423.5349929075674</v>
      </c>
      <c r="T29" s="209">
        <f t="shared" si="16"/>
        <v>1100.4265022269358</v>
      </c>
      <c r="U29" s="209">
        <f t="shared" si="17"/>
        <v>8450.144888653218</v>
      </c>
      <c r="V29" s="209">
        <f t="shared" si="18"/>
        <v>1164.6943043120227</v>
      </c>
      <c r="W29" s="209">
        <f t="shared" si="19"/>
        <v>9476.7547843988723</v>
      </c>
      <c r="X29" s="209">
        <f t="shared" si="20"/>
        <v>1228.9621063971097</v>
      </c>
      <c r="Y29" s="209">
        <f t="shared" si="21"/>
        <v>10503.364680144525</v>
      </c>
      <c r="Z29" s="209">
        <f t="shared" si="22"/>
        <v>1293.2299084821966</v>
      </c>
      <c r="AA29" s="209">
        <f t="shared" si="23"/>
        <v>11529.974575890177</v>
      </c>
      <c r="AB29" s="209">
        <f t="shared" si="24"/>
        <v>1357.4977105672835</v>
      </c>
      <c r="AC29" s="209">
        <f t="shared" si="25"/>
        <v>12556.58447163583</v>
      </c>
      <c r="AD29" s="209">
        <f t="shared" si="26"/>
        <v>1421.7655126523707</v>
      </c>
      <c r="AE29" s="209">
        <f t="shared" si="27"/>
        <v>13583.194367381486</v>
      </c>
    </row>
    <row r="30" spans="1:31" ht="22.15" customHeight="1" x14ac:dyDescent="0.25">
      <c r="A30" s="211" t="s">
        <v>88</v>
      </c>
      <c r="B30" s="205"/>
      <c r="C30" s="205"/>
      <c r="D30" s="205"/>
      <c r="E30" s="205"/>
      <c r="F30" s="205"/>
      <c r="G30" s="205"/>
      <c r="H30" s="205"/>
      <c r="I30" s="222">
        <v>15</v>
      </c>
      <c r="J30" s="209">
        <f t="shared" si="6"/>
        <v>763.81126647206008</v>
      </c>
      <c r="K30" s="209">
        <f t="shared" si="7"/>
        <v>4080.9066763970163</v>
      </c>
      <c r="L30" s="209">
        <f t="shared" si="8"/>
        <v>826.81891557508652</v>
      </c>
      <c r="M30" s="209">
        <f t="shared" si="9"/>
        <v>5170.5242212456942</v>
      </c>
      <c r="N30" s="209">
        <f t="shared" si="10"/>
        <v>889.82656467811285</v>
      </c>
      <c r="O30" s="209">
        <f t="shared" si="11"/>
        <v>6260.1417660943735</v>
      </c>
      <c r="P30" s="209">
        <f t="shared" si="12"/>
        <v>952.8342137811394</v>
      </c>
      <c r="Q30" s="209">
        <f t="shared" si="13"/>
        <v>7349.7593109430536</v>
      </c>
      <c r="R30" s="209">
        <f t="shared" si="14"/>
        <v>1015.8418628841658</v>
      </c>
      <c r="S30" s="209">
        <f t="shared" si="15"/>
        <v>8439.3768557917338</v>
      </c>
      <c r="T30" s="209">
        <f t="shared" si="16"/>
        <v>1078.8495119871923</v>
      </c>
      <c r="U30" s="209">
        <f t="shared" si="17"/>
        <v>9528.9944006404112</v>
      </c>
      <c r="V30" s="209">
        <f t="shared" si="18"/>
        <v>1141.8571610902186</v>
      </c>
      <c r="W30" s="209">
        <f t="shared" si="19"/>
        <v>10618.61194548909</v>
      </c>
      <c r="X30" s="209">
        <f t="shared" si="20"/>
        <v>1204.8648101932451</v>
      </c>
      <c r="Y30" s="209">
        <f t="shared" si="21"/>
        <v>11708.22949033777</v>
      </c>
      <c r="Z30" s="209">
        <f t="shared" si="22"/>
        <v>1267.8724592962715</v>
      </c>
      <c r="AA30" s="209">
        <f t="shared" si="23"/>
        <v>12797.847035186449</v>
      </c>
      <c r="AB30" s="209">
        <f t="shared" si="24"/>
        <v>1330.8801083992978</v>
      </c>
      <c r="AC30" s="209">
        <f t="shared" si="25"/>
        <v>13887.464580035128</v>
      </c>
      <c r="AD30" s="209">
        <f t="shared" si="26"/>
        <v>1393.8877575023246</v>
      </c>
      <c r="AE30" s="209">
        <f t="shared" si="27"/>
        <v>14977.082124883811</v>
      </c>
    </row>
    <row r="31" spans="1:31" ht="22.15" customHeight="1" x14ac:dyDescent="0.25">
      <c r="A31" s="223" t="s">
        <v>89</v>
      </c>
      <c r="B31" s="209">
        <f>MIN($D$15:$D$25)</f>
        <v>5.1714465455725929</v>
      </c>
      <c r="C31" s="205"/>
      <c r="D31" s="205"/>
      <c r="E31" s="205"/>
      <c r="F31" s="205"/>
      <c r="G31" s="205"/>
      <c r="H31" s="205"/>
      <c r="I31" s="222">
        <v>16</v>
      </c>
      <c r="J31" s="209">
        <f t="shared" si="6"/>
        <v>748.83457497260781</v>
      </c>
      <c r="K31" s="209">
        <f t="shared" si="7"/>
        <v>4829.7412513696245</v>
      </c>
      <c r="L31" s="209">
        <f t="shared" si="8"/>
        <v>810.6067799755748</v>
      </c>
      <c r="M31" s="209">
        <f t="shared" si="9"/>
        <v>5981.1310012212689</v>
      </c>
      <c r="N31" s="209">
        <f t="shared" si="10"/>
        <v>872.37898497854189</v>
      </c>
      <c r="O31" s="209">
        <f t="shared" si="11"/>
        <v>7132.5207510729151</v>
      </c>
      <c r="P31" s="209">
        <f t="shared" si="12"/>
        <v>934.15118998150911</v>
      </c>
      <c r="Q31" s="209">
        <f t="shared" si="13"/>
        <v>8283.9105009245632</v>
      </c>
      <c r="R31" s="209">
        <f t="shared" si="14"/>
        <v>995.9233949844762</v>
      </c>
      <c r="S31" s="209">
        <f t="shared" si="15"/>
        <v>9435.3002507762103</v>
      </c>
      <c r="T31" s="209">
        <f t="shared" si="16"/>
        <v>1057.6955999874433</v>
      </c>
      <c r="U31" s="209">
        <f t="shared" si="17"/>
        <v>10586.690000627854</v>
      </c>
      <c r="V31" s="209">
        <f t="shared" si="18"/>
        <v>1119.4678049904103</v>
      </c>
      <c r="W31" s="209">
        <f t="shared" si="19"/>
        <v>11738.079750479501</v>
      </c>
      <c r="X31" s="209">
        <f t="shared" si="20"/>
        <v>1181.2400099933773</v>
      </c>
      <c r="Y31" s="209">
        <f t="shared" si="21"/>
        <v>12889.469500331146</v>
      </c>
      <c r="Z31" s="209">
        <f t="shared" si="22"/>
        <v>1243.0122149963443</v>
      </c>
      <c r="AA31" s="209">
        <f t="shared" si="23"/>
        <v>14040.859250182793</v>
      </c>
      <c r="AB31" s="209">
        <f t="shared" si="24"/>
        <v>1304.7844199993115</v>
      </c>
      <c r="AC31" s="209">
        <f t="shared" si="25"/>
        <v>15192.249000034441</v>
      </c>
      <c r="AD31" s="209">
        <f t="shared" si="26"/>
        <v>1366.5566250022787</v>
      </c>
      <c r="AE31" s="209">
        <f t="shared" si="27"/>
        <v>16343.638749886089</v>
      </c>
    </row>
    <row r="32" spans="1:31" ht="22.15" customHeight="1" x14ac:dyDescent="0.25">
      <c r="A32" s="223" t="s">
        <v>90</v>
      </c>
      <c r="B32" s="209">
        <f>MAX($D$15:$D$25)</f>
        <v>9.8743021523609311</v>
      </c>
      <c r="C32" s="205"/>
      <c r="D32" s="205"/>
      <c r="E32" s="205"/>
      <c r="F32" s="205"/>
      <c r="G32" s="205"/>
      <c r="H32" s="205"/>
      <c r="I32" s="222">
        <v>17</v>
      </c>
      <c r="J32" s="209">
        <f t="shared" si="6"/>
        <v>734.15154409079184</v>
      </c>
      <c r="K32" s="209">
        <f t="shared" si="7"/>
        <v>5563.892795460416</v>
      </c>
      <c r="L32" s="209">
        <f t="shared" si="8"/>
        <v>794.71252938781845</v>
      </c>
      <c r="M32" s="209">
        <f t="shared" si="9"/>
        <v>6775.8435306090869</v>
      </c>
      <c r="N32" s="209">
        <f t="shared" si="10"/>
        <v>855.27351468484494</v>
      </c>
      <c r="O32" s="209">
        <f t="shared" si="11"/>
        <v>7987.7942657577605</v>
      </c>
      <c r="P32" s="209">
        <f t="shared" si="12"/>
        <v>915.83449998187155</v>
      </c>
      <c r="Q32" s="209">
        <f t="shared" si="13"/>
        <v>9199.7450009064341</v>
      </c>
      <c r="R32" s="209">
        <f t="shared" si="14"/>
        <v>976.39548527889815</v>
      </c>
      <c r="S32" s="209">
        <f t="shared" si="15"/>
        <v>10411.695736055108</v>
      </c>
      <c r="T32" s="209">
        <f t="shared" si="16"/>
        <v>1036.9564705759246</v>
      </c>
      <c r="U32" s="209">
        <f t="shared" si="17"/>
        <v>11623.646471203778</v>
      </c>
      <c r="V32" s="209">
        <f t="shared" si="18"/>
        <v>1097.5174558729511</v>
      </c>
      <c r="W32" s="209">
        <f t="shared" si="19"/>
        <v>12835.597206352451</v>
      </c>
      <c r="X32" s="209">
        <f t="shared" si="20"/>
        <v>1158.0784411699776</v>
      </c>
      <c r="Y32" s="209">
        <f t="shared" si="21"/>
        <v>14047.547941501123</v>
      </c>
      <c r="Z32" s="209">
        <f t="shared" si="22"/>
        <v>1218.6394264670041</v>
      </c>
      <c r="AA32" s="209">
        <f t="shared" si="23"/>
        <v>15259.498676649797</v>
      </c>
      <c r="AB32" s="209">
        <f t="shared" si="24"/>
        <v>1279.2004117640306</v>
      </c>
      <c r="AC32" s="209">
        <f t="shared" si="25"/>
        <v>16471.449411798472</v>
      </c>
      <c r="AD32" s="209">
        <f t="shared" si="26"/>
        <v>1339.7613970610576</v>
      </c>
      <c r="AE32" s="209">
        <f t="shared" si="27"/>
        <v>17683.400146947148</v>
      </c>
    </row>
    <row r="33" spans="1:31" ht="22.15" customHeight="1" x14ac:dyDescent="0.25">
      <c r="A33" s="223" t="s">
        <v>123</v>
      </c>
      <c r="B33" s="209">
        <f>B32-B31</f>
        <v>4.7028556067883382</v>
      </c>
      <c r="C33" s="205"/>
      <c r="D33" s="205"/>
      <c r="E33" s="205"/>
      <c r="F33" s="205"/>
      <c r="G33" s="205"/>
      <c r="H33" s="205"/>
      <c r="I33" s="222">
        <v>18</v>
      </c>
      <c r="J33" s="209">
        <f t="shared" si="6"/>
        <v>719.7564157752862</v>
      </c>
      <c r="K33" s="209">
        <f t="shared" si="7"/>
        <v>6283.6492112357018</v>
      </c>
      <c r="L33" s="209">
        <f t="shared" si="8"/>
        <v>779.12993077237104</v>
      </c>
      <c r="M33" s="209">
        <f t="shared" si="9"/>
        <v>7554.973461381458</v>
      </c>
      <c r="N33" s="209">
        <f t="shared" si="10"/>
        <v>838.50344576945588</v>
      </c>
      <c r="O33" s="209">
        <f t="shared" si="11"/>
        <v>8826.297711527217</v>
      </c>
      <c r="P33" s="209">
        <f t="shared" si="12"/>
        <v>897.87696076654083</v>
      </c>
      <c r="Q33" s="209">
        <f t="shared" si="13"/>
        <v>10097.621961672976</v>
      </c>
      <c r="R33" s="209">
        <f t="shared" si="14"/>
        <v>957.25047576362567</v>
      </c>
      <c r="S33" s="209">
        <f t="shared" si="15"/>
        <v>11368.946211818733</v>
      </c>
      <c r="T33" s="209">
        <f t="shared" si="16"/>
        <v>1016.6239907607105</v>
      </c>
      <c r="U33" s="209">
        <f t="shared" si="17"/>
        <v>12640.270461964488</v>
      </c>
      <c r="V33" s="209">
        <f t="shared" si="18"/>
        <v>1075.9975057577954</v>
      </c>
      <c r="W33" s="209">
        <f t="shared" si="19"/>
        <v>13911.594712110247</v>
      </c>
      <c r="X33" s="209">
        <f t="shared" si="20"/>
        <v>1135.3710207548802</v>
      </c>
      <c r="Y33" s="209">
        <f t="shared" si="21"/>
        <v>15182.918962256004</v>
      </c>
      <c r="Z33" s="209">
        <f t="shared" si="22"/>
        <v>1194.744535751965</v>
      </c>
      <c r="AA33" s="209">
        <f t="shared" si="23"/>
        <v>16454.243212401761</v>
      </c>
      <c r="AB33" s="209">
        <f t="shared" si="24"/>
        <v>1254.1180507490499</v>
      </c>
      <c r="AC33" s="209">
        <f t="shared" si="25"/>
        <v>17725.567462547522</v>
      </c>
      <c r="AD33" s="209">
        <f t="shared" si="26"/>
        <v>1313.4915657461349</v>
      </c>
      <c r="AE33" s="209">
        <f t="shared" si="27"/>
        <v>18996.891712693283</v>
      </c>
    </row>
    <row r="34" spans="1:31" ht="22.15" customHeight="1" x14ac:dyDescent="0.25">
      <c r="A34" s="223" t="s">
        <v>138</v>
      </c>
      <c r="B34" s="209">
        <f>$C$15</f>
        <v>10941.906306207824</v>
      </c>
      <c r="C34" s="205"/>
      <c r="D34" s="205"/>
      <c r="E34" s="205"/>
      <c r="F34" s="205"/>
      <c r="G34" s="205"/>
      <c r="H34" s="205"/>
      <c r="I34" s="222">
        <v>19</v>
      </c>
      <c r="J34" s="209">
        <f t="shared" si="6"/>
        <v>705.64354487773164</v>
      </c>
      <c r="K34" s="209">
        <f t="shared" si="7"/>
        <v>6989.2927561134338</v>
      </c>
      <c r="L34" s="209">
        <f t="shared" si="8"/>
        <v>763.85287330624612</v>
      </c>
      <c r="M34" s="209">
        <f t="shared" si="9"/>
        <v>8318.8263346877047</v>
      </c>
      <c r="N34" s="209">
        <f t="shared" si="10"/>
        <v>822.06220173476072</v>
      </c>
      <c r="O34" s="209">
        <f t="shared" si="11"/>
        <v>9648.3599132619784</v>
      </c>
      <c r="P34" s="209">
        <f t="shared" si="12"/>
        <v>880.27153016327543</v>
      </c>
      <c r="Q34" s="209">
        <f t="shared" si="13"/>
        <v>10977.893491836252</v>
      </c>
      <c r="R34" s="209">
        <f t="shared" si="14"/>
        <v>938.48085859178991</v>
      </c>
      <c r="S34" s="209">
        <f t="shared" si="15"/>
        <v>12307.427070410522</v>
      </c>
      <c r="T34" s="209">
        <f t="shared" si="16"/>
        <v>996.69018702030451</v>
      </c>
      <c r="U34" s="209">
        <f t="shared" si="17"/>
        <v>13636.960648984792</v>
      </c>
      <c r="V34" s="209">
        <f t="shared" si="18"/>
        <v>1054.8995154488191</v>
      </c>
      <c r="W34" s="209">
        <f t="shared" si="19"/>
        <v>14966.494227559066</v>
      </c>
      <c r="X34" s="209">
        <f t="shared" si="20"/>
        <v>1113.1088438773336</v>
      </c>
      <c r="Y34" s="209">
        <f t="shared" si="21"/>
        <v>16296.027806133337</v>
      </c>
      <c r="Z34" s="209">
        <f t="shared" si="22"/>
        <v>1171.3181723058481</v>
      </c>
      <c r="AA34" s="209">
        <f t="shared" si="23"/>
        <v>17625.561384707609</v>
      </c>
      <c r="AB34" s="209">
        <f t="shared" si="24"/>
        <v>1229.5275007343625</v>
      </c>
      <c r="AC34" s="209">
        <f t="shared" si="25"/>
        <v>18955.094963281885</v>
      </c>
      <c r="AD34" s="209">
        <f t="shared" si="26"/>
        <v>1287.7368291628775</v>
      </c>
      <c r="AE34" s="209">
        <f t="shared" si="27"/>
        <v>20284.62854185616</v>
      </c>
    </row>
    <row r="35" spans="1:31" ht="36.75" customHeight="1" x14ac:dyDescent="0.25">
      <c r="A35" s="223" t="s">
        <v>139</v>
      </c>
      <c r="B35" s="209">
        <f>$C$25</f>
        <v>27497.797395808782</v>
      </c>
      <c r="C35" s="205"/>
      <c r="D35" s="205"/>
      <c r="E35" s="205"/>
      <c r="F35" s="205"/>
      <c r="G35" s="205"/>
      <c r="H35" s="205"/>
      <c r="I35" s="222">
        <v>20</v>
      </c>
      <c r="J35" s="209">
        <f t="shared" si="6"/>
        <v>691.80739693895248</v>
      </c>
      <c r="K35" s="209">
        <f t="shared" si="7"/>
        <v>7681.1001530523863</v>
      </c>
      <c r="L35" s="209">
        <f t="shared" si="8"/>
        <v>748.87536598651582</v>
      </c>
      <c r="M35" s="209">
        <f t="shared" si="9"/>
        <v>9067.7017006742208</v>
      </c>
      <c r="N35" s="209">
        <f t="shared" si="10"/>
        <v>805.94333503407904</v>
      </c>
      <c r="O35" s="209">
        <f t="shared" si="11"/>
        <v>10454.303248296057</v>
      </c>
      <c r="P35" s="209">
        <f t="shared" si="12"/>
        <v>863.01130408164249</v>
      </c>
      <c r="Q35" s="209">
        <f t="shared" si="13"/>
        <v>11840.904795917895</v>
      </c>
      <c r="R35" s="209">
        <f t="shared" si="14"/>
        <v>920.07927312920572</v>
      </c>
      <c r="S35" s="209">
        <f t="shared" si="15"/>
        <v>13227.506343539728</v>
      </c>
      <c r="T35" s="209">
        <f t="shared" si="16"/>
        <v>977.14724217676894</v>
      </c>
      <c r="U35" s="209">
        <f t="shared" si="17"/>
        <v>14614.10789116156</v>
      </c>
      <c r="V35" s="209">
        <f t="shared" si="18"/>
        <v>1034.2152112243323</v>
      </c>
      <c r="W35" s="209">
        <f t="shared" si="19"/>
        <v>16000.709438783399</v>
      </c>
      <c r="X35" s="209">
        <f t="shared" si="20"/>
        <v>1091.2831802718956</v>
      </c>
      <c r="Y35" s="209">
        <f t="shared" si="21"/>
        <v>17387.310986405231</v>
      </c>
      <c r="Z35" s="209">
        <f t="shared" si="22"/>
        <v>1148.3511493194587</v>
      </c>
      <c r="AA35" s="209">
        <f t="shared" si="23"/>
        <v>18773.912534027069</v>
      </c>
      <c r="AB35" s="209">
        <f t="shared" si="24"/>
        <v>1205.4191183670221</v>
      </c>
      <c r="AC35" s="209">
        <f t="shared" si="25"/>
        <v>20160.514081648907</v>
      </c>
      <c r="AD35" s="209">
        <f t="shared" si="26"/>
        <v>1262.4870874145856</v>
      </c>
      <c r="AE35" s="209">
        <f t="shared" si="27"/>
        <v>21547.115629270746</v>
      </c>
    </row>
    <row r="36" spans="1:31" ht="36" customHeight="1" x14ac:dyDescent="0.25">
      <c r="A36" s="206" t="s">
        <v>94</v>
      </c>
      <c r="B36" s="208">
        <f>AVERAGE(ABS(H15),ABS(H16),ABS(H17),ABS(H18),ABS(H19),ABS(H21),ABS(H22),ABS(H23),ABS(H24),ABS(H25))</f>
        <v>0.65394000160217947</v>
      </c>
      <c r="C36" s="205"/>
      <c r="D36" s="205"/>
      <c r="E36" s="205"/>
      <c r="F36" s="205"/>
      <c r="G36" s="205"/>
      <c r="H36" s="205"/>
      <c r="I36" s="222">
        <v>21</v>
      </c>
      <c r="J36" s="209">
        <f t="shared" si="6"/>
        <v>678.24254601858092</v>
      </c>
      <c r="K36" s="209">
        <f t="shared" si="7"/>
        <v>8359.3426990709668</v>
      </c>
      <c r="L36" s="209">
        <f t="shared" si="8"/>
        <v>734.19153528089782</v>
      </c>
      <c r="M36" s="209">
        <f t="shared" si="9"/>
        <v>9801.8932359551181</v>
      </c>
      <c r="N36" s="209">
        <f t="shared" si="10"/>
        <v>790.14052454321484</v>
      </c>
      <c r="O36" s="209">
        <f t="shared" si="11"/>
        <v>11244.443772839271</v>
      </c>
      <c r="P36" s="209">
        <f t="shared" si="12"/>
        <v>846.08951380553185</v>
      </c>
      <c r="Q36" s="209">
        <f t="shared" si="13"/>
        <v>12686.994309723426</v>
      </c>
      <c r="R36" s="209">
        <f t="shared" si="14"/>
        <v>902.03850306784886</v>
      </c>
      <c r="S36" s="209">
        <f t="shared" si="15"/>
        <v>14129.544846607576</v>
      </c>
      <c r="T36" s="209">
        <f t="shared" si="16"/>
        <v>957.98749233016576</v>
      </c>
      <c r="U36" s="209">
        <f t="shared" si="17"/>
        <v>15572.095383491725</v>
      </c>
      <c r="V36" s="209">
        <f t="shared" si="18"/>
        <v>1013.9364815924827</v>
      </c>
      <c r="W36" s="209">
        <f t="shared" si="19"/>
        <v>17014.645920375882</v>
      </c>
      <c r="X36" s="209">
        <f t="shared" si="20"/>
        <v>1069.8854708547997</v>
      </c>
      <c r="Y36" s="209">
        <f t="shared" si="21"/>
        <v>18457.19645726003</v>
      </c>
      <c r="Z36" s="209">
        <f t="shared" si="22"/>
        <v>1125.8344601171166</v>
      </c>
      <c r="AA36" s="209">
        <f t="shared" si="23"/>
        <v>19899.746994144185</v>
      </c>
      <c r="AB36" s="209">
        <f t="shared" si="24"/>
        <v>1181.7834493794335</v>
      </c>
      <c r="AC36" s="209">
        <f t="shared" si="25"/>
        <v>21342.29753102834</v>
      </c>
      <c r="AD36" s="209">
        <f t="shared" si="26"/>
        <v>1237.7324386417506</v>
      </c>
      <c r="AE36" s="209">
        <f t="shared" si="27"/>
        <v>22784.848067912495</v>
      </c>
    </row>
    <row r="37" spans="1:31" ht="22.15" customHeight="1" x14ac:dyDescent="0.25">
      <c r="A37" s="205"/>
      <c r="B37" s="205"/>
      <c r="C37" s="205"/>
      <c r="D37" s="205"/>
      <c r="E37" s="205"/>
      <c r="F37" s="205"/>
      <c r="G37" s="205"/>
      <c r="H37" s="205"/>
      <c r="I37" s="222">
        <v>22</v>
      </c>
      <c r="J37" s="209">
        <f t="shared" si="6"/>
        <v>664.94367256723615</v>
      </c>
      <c r="K37" s="209">
        <f t="shared" si="7"/>
        <v>9024.2863716382035</v>
      </c>
      <c r="L37" s="209">
        <f t="shared" si="8"/>
        <v>719.79562282440963</v>
      </c>
      <c r="M37" s="209">
        <f t="shared" si="9"/>
        <v>10521.688858779527</v>
      </c>
      <c r="N37" s="209">
        <f t="shared" si="10"/>
        <v>774.64757308158312</v>
      </c>
      <c r="O37" s="209">
        <f t="shared" si="11"/>
        <v>12019.091345920855</v>
      </c>
      <c r="P37" s="209">
        <f t="shared" si="12"/>
        <v>829.49952333875672</v>
      </c>
      <c r="Q37" s="209">
        <f t="shared" si="13"/>
        <v>13516.493833062183</v>
      </c>
      <c r="R37" s="209">
        <f t="shared" si="14"/>
        <v>884.3514735959302</v>
      </c>
      <c r="S37" s="209">
        <f t="shared" si="15"/>
        <v>15013.896320203507</v>
      </c>
      <c r="T37" s="209">
        <f t="shared" si="16"/>
        <v>939.20342385310357</v>
      </c>
      <c r="U37" s="209">
        <f t="shared" si="17"/>
        <v>16511.298807344829</v>
      </c>
      <c r="V37" s="209">
        <f t="shared" si="18"/>
        <v>994.05537411027706</v>
      </c>
      <c r="W37" s="209">
        <f t="shared" si="19"/>
        <v>18008.70129448616</v>
      </c>
      <c r="X37" s="209">
        <f t="shared" si="20"/>
        <v>1048.9073243674504</v>
      </c>
      <c r="Y37" s="209">
        <f t="shared" si="21"/>
        <v>19506.10378162748</v>
      </c>
      <c r="Z37" s="209">
        <f t="shared" si="22"/>
        <v>1103.7592746246239</v>
      </c>
      <c r="AA37" s="209">
        <f t="shared" si="23"/>
        <v>21003.506268768808</v>
      </c>
      <c r="AB37" s="209">
        <f t="shared" si="24"/>
        <v>1158.6112248817974</v>
      </c>
      <c r="AC37" s="209">
        <f t="shared" si="25"/>
        <v>22500.908755910139</v>
      </c>
      <c r="AD37" s="209">
        <f t="shared" si="26"/>
        <v>1213.4631751389711</v>
      </c>
      <c r="AE37" s="209">
        <f t="shared" si="27"/>
        <v>23998.311243051467</v>
      </c>
    </row>
    <row r="38" spans="1:31" ht="22.15" customHeight="1" x14ac:dyDescent="0.25">
      <c r="A38" s="205"/>
      <c r="B38" s="205"/>
      <c r="C38" s="205"/>
      <c r="D38" s="205"/>
      <c r="E38" s="205"/>
      <c r="F38" s="205"/>
      <c r="G38" s="205"/>
      <c r="H38" s="205"/>
      <c r="I38" s="222">
        <v>23</v>
      </c>
      <c r="J38" s="209">
        <f t="shared" si="6"/>
        <v>651.90556134042777</v>
      </c>
      <c r="K38" s="209">
        <f t="shared" si="7"/>
        <v>9676.1919329786306</v>
      </c>
      <c r="L38" s="209">
        <f t="shared" si="8"/>
        <v>705.68198316118605</v>
      </c>
      <c r="M38" s="209">
        <f t="shared" si="9"/>
        <v>11227.370841940714</v>
      </c>
      <c r="N38" s="209">
        <f t="shared" si="10"/>
        <v>759.45840498194434</v>
      </c>
      <c r="O38" s="209">
        <f t="shared" si="11"/>
        <v>12778.549750902799</v>
      </c>
      <c r="P38" s="209">
        <f t="shared" si="12"/>
        <v>813.23482680270286</v>
      </c>
      <c r="Q38" s="209">
        <f t="shared" si="13"/>
        <v>14329.728659864886</v>
      </c>
      <c r="R38" s="209">
        <f t="shared" si="14"/>
        <v>867.01124862346114</v>
      </c>
      <c r="S38" s="209">
        <f t="shared" si="15"/>
        <v>15880.907568826968</v>
      </c>
      <c r="T38" s="209">
        <f t="shared" si="16"/>
        <v>920.78767044421943</v>
      </c>
      <c r="U38" s="209">
        <f t="shared" si="17"/>
        <v>17432.086477789049</v>
      </c>
      <c r="V38" s="209">
        <f t="shared" si="18"/>
        <v>974.56409226497772</v>
      </c>
      <c r="W38" s="209">
        <f t="shared" si="19"/>
        <v>18983.265386751136</v>
      </c>
      <c r="X38" s="209">
        <f t="shared" si="20"/>
        <v>1028.340514085736</v>
      </c>
      <c r="Y38" s="209">
        <f t="shared" si="21"/>
        <v>20534.444295713216</v>
      </c>
      <c r="Z38" s="209">
        <f t="shared" si="22"/>
        <v>1082.1169359064943</v>
      </c>
      <c r="AA38" s="209">
        <f t="shared" si="23"/>
        <v>22085.623204675303</v>
      </c>
      <c r="AB38" s="209">
        <f t="shared" si="24"/>
        <v>1135.8933577272526</v>
      </c>
      <c r="AC38" s="209">
        <f t="shared" si="25"/>
        <v>23636.80211363739</v>
      </c>
      <c r="AD38" s="209">
        <f t="shared" si="26"/>
        <v>1189.6697795480111</v>
      </c>
      <c r="AE38" s="209">
        <f t="shared" si="27"/>
        <v>25187.981022599477</v>
      </c>
    </row>
    <row r="39" spans="1:31" ht="22.15" customHeight="1" x14ac:dyDescent="0.25">
      <c r="A39" s="205"/>
      <c r="B39" s="205"/>
      <c r="C39" s="205"/>
      <c r="D39" s="205"/>
      <c r="E39" s="205"/>
      <c r="F39" s="205"/>
      <c r="G39" s="205"/>
      <c r="H39" s="205"/>
      <c r="I39" s="222">
        <v>24</v>
      </c>
      <c r="J39" s="209">
        <f t="shared" si="6"/>
        <v>639.12309935336054</v>
      </c>
      <c r="K39" s="209">
        <f t="shared" si="7"/>
        <v>10315.315032331991</v>
      </c>
      <c r="L39" s="209">
        <f t="shared" si="8"/>
        <v>691.84508153057448</v>
      </c>
      <c r="M39" s="209">
        <f t="shared" si="9"/>
        <v>11919.215923471289</v>
      </c>
      <c r="N39" s="209">
        <f t="shared" si="10"/>
        <v>744.56706370778852</v>
      </c>
      <c r="O39" s="209">
        <f t="shared" si="11"/>
        <v>13523.116814610588</v>
      </c>
      <c r="P39" s="209">
        <f t="shared" si="12"/>
        <v>797.28904588500268</v>
      </c>
      <c r="Q39" s="209">
        <f t="shared" si="13"/>
        <v>15127.01770574989</v>
      </c>
      <c r="R39" s="209">
        <f t="shared" si="14"/>
        <v>850.01102806221672</v>
      </c>
      <c r="S39" s="209">
        <f t="shared" si="15"/>
        <v>16730.918596889183</v>
      </c>
      <c r="T39" s="209">
        <f t="shared" si="16"/>
        <v>902.73301023943077</v>
      </c>
      <c r="U39" s="209">
        <f t="shared" si="17"/>
        <v>18334.819488028479</v>
      </c>
      <c r="V39" s="209">
        <f t="shared" si="18"/>
        <v>955.45499241664481</v>
      </c>
      <c r="W39" s="209">
        <f t="shared" si="19"/>
        <v>19938.720379167782</v>
      </c>
      <c r="X39" s="209">
        <f t="shared" si="20"/>
        <v>1008.1769745938587</v>
      </c>
      <c r="Y39" s="209">
        <f t="shared" si="21"/>
        <v>21542.621270307074</v>
      </c>
      <c r="Z39" s="209">
        <f t="shared" si="22"/>
        <v>1060.8989567710728</v>
      </c>
      <c r="AA39" s="209">
        <f t="shared" si="23"/>
        <v>23146.522161446377</v>
      </c>
      <c r="AB39" s="209">
        <f t="shared" si="24"/>
        <v>1113.6209389482867</v>
      </c>
      <c r="AC39" s="209">
        <f t="shared" si="25"/>
        <v>24750.423052585676</v>
      </c>
      <c r="AD39" s="209">
        <f t="shared" si="26"/>
        <v>1166.3429211255011</v>
      </c>
      <c r="AE39" s="209">
        <f t="shared" si="27"/>
        <v>26354.323943724979</v>
      </c>
    </row>
    <row r="40" spans="1:31" ht="22.15" customHeight="1" x14ac:dyDescent="0.25">
      <c r="A40" s="205"/>
      <c r="B40" s="205"/>
      <c r="C40" s="205"/>
      <c r="D40" s="205"/>
      <c r="E40" s="205"/>
      <c r="F40" s="205"/>
      <c r="G40" s="205"/>
      <c r="H40" s="205"/>
      <c r="I40" s="222">
        <v>25</v>
      </c>
      <c r="J40" s="209">
        <f t="shared" si="6"/>
        <v>626.59127387584363</v>
      </c>
      <c r="K40" s="209">
        <f t="shared" si="7"/>
        <v>10941.906306207835</v>
      </c>
      <c r="L40" s="209">
        <f t="shared" si="8"/>
        <v>678.27949169664168</v>
      </c>
      <c r="M40" s="209">
        <f t="shared" si="9"/>
        <v>12597.49541516793</v>
      </c>
      <c r="N40" s="209">
        <f t="shared" si="10"/>
        <v>729.96770951743974</v>
      </c>
      <c r="O40" s="209">
        <f t="shared" si="11"/>
        <v>14253.084524128028</v>
      </c>
      <c r="P40" s="209">
        <f t="shared" si="12"/>
        <v>781.65592733823792</v>
      </c>
      <c r="Q40" s="209">
        <f t="shared" si="13"/>
        <v>15908.673633088127</v>
      </c>
      <c r="R40" s="209">
        <f t="shared" si="14"/>
        <v>833.34414515903597</v>
      </c>
      <c r="S40" s="209">
        <f t="shared" si="15"/>
        <v>17564.26274204822</v>
      </c>
      <c r="T40" s="209">
        <f t="shared" si="16"/>
        <v>885.03236297983403</v>
      </c>
      <c r="U40" s="209">
        <f t="shared" si="17"/>
        <v>19219.851851008312</v>
      </c>
      <c r="V40" s="209">
        <f t="shared" si="18"/>
        <v>936.72058080063209</v>
      </c>
      <c r="W40" s="209">
        <f t="shared" si="19"/>
        <v>20875.440959968415</v>
      </c>
      <c r="X40" s="209">
        <f t="shared" si="20"/>
        <v>988.40879862143015</v>
      </c>
      <c r="Y40" s="209">
        <f t="shared" si="21"/>
        <v>22531.030068928503</v>
      </c>
      <c r="Z40" s="209">
        <f t="shared" si="22"/>
        <v>1040.0970164422283</v>
      </c>
      <c r="AA40" s="209">
        <f t="shared" si="23"/>
        <v>24186.619177888606</v>
      </c>
      <c r="AB40" s="209">
        <f t="shared" si="24"/>
        <v>1091.7852342630263</v>
      </c>
      <c r="AC40" s="209">
        <f t="shared" si="25"/>
        <v>25842.208286848701</v>
      </c>
      <c r="AD40" s="209">
        <f t="shared" si="26"/>
        <v>1143.4734520838247</v>
      </c>
      <c r="AE40" s="209">
        <f t="shared" si="27"/>
        <v>27497.797395808804</v>
      </c>
    </row>
    <row r="41" spans="1:31" ht="22.15" customHeight="1" x14ac:dyDescent="0.25">
      <c r="A41" s="205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</row>
    <row r="42" spans="1:31" ht="22.15" customHeight="1" x14ac:dyDescent="0.25">
      <c r="A42" s="205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</row>
    <row r="43" spans="1:31" ht="22.15" customHeight="1" x14ac:dyDescent="0.25">
      <c r="A43" s="205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</row>
    <row r="44" spans="1:31" ht="22.15" customHeight="1" x14ac:dyDescent="0.25">
      <c r="A44" s="205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</row>
    <row r="45" spans="1:31" ht="22.15" customHeight="1" x14ac:dyDescent="0.25">
      <c r="A45" s="205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</row>
    <row r="46" spans="1:31" ht="22.15" customHeight="1" x14ac:dyDescent="0.25">
      <c r="A46" s="205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</row>
    <row r="47" spans="1:31" ht="22.15" customHeight="1" x14ac:dyDescent="0.25">
      <c r="A47" s="205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</row>
    <row r="48" spans="1:31" ht="22.15" customHeight="1" x14ac:dyDescent="0.25">
      <c r="A48" s="205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</row>
    <row r="49" spans="1:31" ht="22.15" customHeight="1" x14ac:dyDescent="0.25">
      <c r="A49" s="205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5"/>
      <c r="AE49" s="205"/>
    </row>
    <row r="50" spans="1:31" ht="22.15" customHeight="1" x14ac:dyDescent="0.25">
      <c r="A50" s="205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5"/>
    </row>
    <row r="51" spans="1:31" ht="22.15" customHeight="1" x14ac:dyDescent="0.25">
      <c r="A51" s="205"/>
      <c r="B51" s="205"/>
      <c r="C51" s="20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</row>
    <row r="52" spans="1:31" ht="22.15" customHeight="1" x14ac:dyDescent="0.25">
      <c r="A52" s="205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</row>
    <row r="53" spans="1:31" ht="22.15" customHeight="1" x14ac:dyDescent="0.25">
      <c r="A53" s="205"/>
      <c r="B53" s="205"/>
      <c r="C53" s="20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</row>
    <row r="54" spans="1:31" ht="22.15" customHeight="1" x14ac:dyDescent="0.25">
      <c r="A54" s="205"/>
      <c r="B54" s="205"/>
      <c r="C54" s="20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</row>
    <row r="55" spans="1:31" ht="22.15" customHeight="1" x14ac:dyDescent="0.25">
      <c r="A55" s="205"/>
      <c r="B55" s="205"/>
      <c r="C55" s="20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</row>
    <row r="56" spans="1:31" ht="22.15" customHeight="1" x14ac:dyDescent="0.25">
      <c r="A56" s="205"/>
      <c r="B56" s="205"/>
      <c r="C56" s="20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</row>
    <row r="57" spans="1:31" ht="22.15" customHeight="1" x14ac:dyDescent="0.25">
      <c r="A57" s="205"/>
      <c r="B57" s="205"/>
      <c r="C57" s="20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</row>
    <row r="58" spans="1:31" ht="22.15" customHeight="1" x14ac:dyDescent="0.25">
      <c r="A58" s="205"/>
      <c r="B58" s="205"/>
      <c r="C58" s="205"/>
      <c r="D58" s="205"/>
      <c r="E58" s="205"/>
      <c r="F58" s="205"/>
      <c r="G58" s="205"/>
      <c r="H58" s="205"/>
      <c r="I58" s="205"/>
      <c r="J58" s="205"/>
      <c r="K58" s="205"/>
      <c r="L58" s="205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/>
      <c r="AC58" s="205"/>
      <c r="AD58" s="205"/>
      <c r="AE58" s="205"/>
    </row>
    <row r="59" spans="1:31" ht="22.15" customHeight="1" x14ac:dyDescent="0.25">
      <c r="A59" s="205"/>
      <c r="B59" s="205"/>
      <c r="C59" s="205"/>
      <c r="D59" s="205"/>
      <c r="E59" s="205"/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/>
      <c r="AC59" s="205"/>
      <c r="AD59" s="205"/>
      <c r="AE59" s="205"/>
    </row>
    <row r="60" spans="1:31" ht="22.15" customHeight="1" x14ac:dyDescent="0.25">
      <c r="A60" s="205"/>
      <c r="B60" s="205"/>
      <c r="C60" s="205"/>
      <c r="D60" s="205"/>
      <c r="E60" s="205"/>
      <c r="F60" s="205"/>
      <c r="G60" s="205"/>
      <c r="H60" s="205"/>
      <c r="I60" s="205"/>
      <c r="J60" s="205"/>
      <c r="K60" s="205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/>
      <c r="AC60" s="205"/>
      <c r="AD60" s="205"/>
      <c r="AE60" s="205"/>
    </row>
    <row r="61" spans="1:31" x14ac:dyDescent="0.25">
      <c r="A61" s="205"/>
      <c r="B61" s="205"/>
      <c r="C61" s="205"/>
      <c r="D61" s="205"/>
      <c r="E61" s="205"/>
      <c r="F61" s="205"/>
      <c r="G61" s="205"/>
      <c r="H61" s="205"/>
      <c r="I61" s="205"/>
      <c r="J61" s="205"/>
      <c r="K61" s="205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</row>
    <row r="62" spans="1:31" ht="63.75" x14ac:dyDescent="0.25">
      <c r="A62" s="205" t="s">
        <v>133</v>
      </c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</row>
    <row r="63" spans="1:31" x14ac:dyDescent="0.25">
      <c r="A63" s="205"/>
      <c r="B63" s="205"/>
      <c r="C63" s="205"/>
      <c r="D63" s="205"/>
      <c r="E63" s="205"/>
      <c r="F63" s="205"/>
      <c r="G63" s="205"/>
      <c r="H63" s="205"/>
      <c r="I63" s="205"/>
      <c r="J63" s="205"/>
      <c r="K63" s="205"/>
      <c r="L63" s="205"/>
      <c r="M63" s="205"/>
      <c r="N63" s="205"/>
      <c r="O63" s="205"/>
      <c r="P63" s="205"/>
      <c r="Q63" s="205"/>
      <c r="R63" s="205"/>
      <c r="S63" s="205"/>
      <c r="T63" s="205"/>
      <c r="U63" s="205"/>
      <c r="V63" s="205"/>
      <c r="W63" s="205"/>
      <c r="X63" s="205"/>
      <c r="Y63" s="205"/>
      <c r="Z63" s="205"/>
      <c r="AA63" s="205"/>
      <c r="AB63" s="205"/>
      <c r="AC63" s="205"/>
      <c r="AD63" s="205"/>
      <c r="AE63" s="205"/>
    </row>
    <row r="64" spans="1:31" x14ac:dyDescent="0.25">
      <c r="A64" s="205"/>
      <c r="B64" s="205"/>
      <c r="C64" s="205"/>
      <c r="D64" s="205"/>
      <c r="E64" s="205"/>
      <c r="F64" s="205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5"/>
      <c r="AE64" s="205"/>
    </row>
    <row r="65" spans="1:31" x14ac:dyDescent="0.25">
      <c r="A65" s="205"/>
      <c r="B65" s="205"/>
      <c r="C65" s="205"/>
      <c r="D65" s="205"/>
      <c r="E65" s="205"/>
      <c r="F65" s="205"/>
      <c r="G65" s="205"/>
      <c r="H65" s="205"/>
      <c r="I65" s="205"/>
      <c r="J65" s="205"/>
      <c r="K65" s="205"/>
      <c r="L65" s="205"/>
      <c r="M65" s="205"/>
      <c r="N65" s="205"/>
      <c r="O65" s="205"/>
      <c r="P65" s="205"/>
      <c r="Q65" s="205"/>
      <c r="R65" s="205"/>
      <c r="S65" s="205"/>
      <c r="T65" s="205"/>
      <c r="U65" s="205"/>
      <c r="V65" s="205"/>
      <c r="W65" s="205"/>
      <c r="X65" s="205"/>
      <c r="Y65" s="205"/>
      <c r="Z65" s="205"/>
      <c r="AA65" s="205"/>
      <c r="AB65" s="205"/>
      <c r="AC65" s="205"/>
      <c r="AD65" s="205"/>
      <c r="AE65" s="205"/>
    </row>
    <row r="66" spans="1:31" x14ac:dyDescent="0.25">
      <c r="A66" s="205"/>
      <c r="B66" s="205"/>
      <c r="C66" s="205"/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5"/>
      <c r="P66" s="205"/>
      <c r="Q66" s="205"/>
      <c r="R66" s="205"/>
      <c r="S66" s="205"/>
      <c r="T66" s="205"/>
      <c r="U66" s="205"/>
      <c r="V66" s="205"/>
      <c r="W66" s="205"/>
      <c r="X66" s="205"/>
      <c r="Y66" s="205"/>
      <c r="Z66" s="205"/>
      <c r="AA66" s="205"/>
      <c r="AB66" s="205"/>
      <c r="AC66" s="205"/>
      <c r="AD66" s="205"/>
      <c r="AE66" s="205"/>
    </row>
    <row r="67" spans="1:31" x14ac:dyDescent="0.25">
      <c r="A67" s="205"/>
      <c r="B67" s="205"/>
      <c r="C67" s="205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/>
      <c r="Z67" s="205"/>
      <c r="AA67" s="205"/>
      <c r="AB67" s="205"/>
      <c r="AC67" s="205"/>
      <c r="AD67" s="205"/>
      <c r="AE67" s="205"/>
    </row>
  </sheetData>
  <sheetProtection sheet="1" objects="1" scenarios="1"/>
  <mergeCells count="1">
    <mergeCell ref="A1:G1"/>
  </mergeCells>
  <pageMargins left="0.75" right="0.75" top="1" bottom="1" header="0.5" footer="0.5"/>
  <pageSetup paperSize="9" fitToHeight="0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3">
    <pageSetUpPr fitToPage="1"/>
  </sheetPr>
  <dimension ref="A1:AE67"/>
  <sheetViews>
    <sheetView showGridLines="0" topLeftCell="A32" zoomScale="70" zoomScaleNormal="70" workbookViewId="0">
      <selection activeCell="O17" sqref="O17"/>
    </sheetView>
  </sheetViews>
  <sheetFormatPr defaultRowHeight="15" x14ac:dyDescent="0.25"/>
  <cols>
    <col min="1" max="1" width="40.7109375" customWidth="1"/>
    <col min="2" max="2" width="24" bestFit="1" customWidth="1"/>
    <col min="3" max="3" width="18.28515625" bestFit="1" customWidth="1"/>
    <col min="4" max="4" width="24.7109375" customWidth="1"/>
    <col min="5" max="5" width="23.7109375" bestFit="1" customWidth="1"/>
    <col min="6" max="6" width="19.140625" bestFit="1" customWidth="1"/>
    <col min="7" max="7" width="24.7109375" customWidth="1"/>
    <col min="8" max="8" width="12.140625" bestFit="1" customWidth="1"/>
    <col min="9" max="9" width="6.28515625" bestFit="1" customWidth="1"/>
    <col min="10" max="10" width="11.42578125" bestFit="1" customWidth="1"/>
    <col min="11" max="11" width="14.85546875" bestFit="1" customWidth="1"/>
    <col min="12" max="12" width="11.42578125" bestFit="1" customWidth="1"/>
    <col min="13" max="13" width="14.85546875" bestFit="1" customWidth="1"/>
    <col min="14" max="14" width="11.42578125" bestFit="1" customWidth="1"/>
    <col min="15" max="15" width="14.85546875" bestFit="1" customWidth="1"/>
    <col min="16" max="16" width="11.42578125" bestFit="1" customWidth="1"/>
    <col min="17" max="17" width="14.85546875" bestFit="1" customWidth="1"/>
    <col min="18" max="18" width="11.42578125" bestFit="1" customWidth="1"/>
    <col min="19" max="19" width="14.85546875" bestFit="1" customWidth="1"/>
    <col min="20" max="20" width="11.42578125" bestFit="1" customWidth="1"/>
    <col min="21" max="21" width="14.85546875" bestFit="1" customWidth="1"/>
    <col min="22" max="22" width="11.42578125" bestFit="1" customWidth="1"/>
    <col min="23" max="23" width="14.85546875" bestFit="1" customWidth="1"/>
    <col min="24" max="24" width="11.42578125" bestFit="1" customWidth="1"/>
    <col min="25" max="25" width="14.85546875" bestFit="1" customWidth="1"/>
    <col min="26" max="26" width="11.42578125" bestFit="1" customWidth="1"/>
    <col min="27" max="27" width="14.85546875" bestFit="1" customWidth="1"/>
    <col min="28" max="28" width="11.42578125" bestFit="1" customWidth="1"/>
    <col min="29" max="29" width="14.85546875" bestFit="1" customWidth="1"/>
    <col min="30" max="30" width="12.5703125" bestFit="1" customWidth="1"/>
    <col min="31" max="31" width="16.28515625" bestFit="1" customWidth="1"/>
  </cols>
  <sheetData>
    <row r="1" spans="1:31" s="216" customFormat="1" ht="22.15" customHeight="1" x14ac:dyDescent="0.25">
      <c r="A1" s="273" t="s">
        <v>140</v>
      </c>
      <c r="B1" s="274"/>
      <c r="C1" s="274"/>
      <c r="D1" s="274"/>
      <c r="E1" s="274"/>
      <c r="F1" s="274"/>
      <c r="G1" s="274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</row>
    <row r="2" spans="1:31" ht="22.15" customHeight="1" x14ac:dyDescent="0.25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</row>
    <row r="3" spans="1:31" ht="22.15" customHeight="1" x14ac:dyDescent="0.25">
      <c r="A3" s="211" t="s">
        <v>53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</row>
    <row r="4" spans="1:31" ht="20.45" customHeight="1" x14ac:dyDescent="0.25">
      <c r="A4" s="206" t="s">
        <v>54</v>
      </c>
      <c r="B4" s="217">
        <f>IRR_DPP!$L$3</f>
        <v>9128</v>
      </c>
      <c r="C4" s="207" t="s">
        <v>38</v>
      </c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</row>
    <row r="5" spans="1:31" ht="35.25" customHeight="1" x14ac:dyDescent="0.25">
      <c r="A5" s="206" t="s">
        <v>97</v>
      </c>
      <c r="B5" s="217">
        <f>IRR_DPP!$B$4</f>
        <v>1451.9894000000002</v>
      </c>
      <c r="C5" s="207" t="s">
        <v>46</v>
      </c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</row>
    <row r="6" spans="1:31" ht="20.45" customHeight="1" x14ac:dyDescent="0.25">
      <c r="A6" s="206" t="s">
        <v>56</v>
      </c>
      <c r="B6" s="218">
        <f>MAX(IRR_DPP!$A$4:$A$28)</f>
        <v>25</v>
      </c>
      <c r="C6" s="207" t="s">
        <v>40</v>
      </c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</row>
    <row r="7" spans="1:31" ht="20.45" customHeight="1" x14ac:dyDescent="0.25">
      <c r="A7" s="206" t="s">
        <v>57</v>
      </c>
      <c r="B7" s="219">
        <f>IRR_DPP!$F$4</f>
        <v>0.02</v>
      </c>
      <c r="C7" s="207" t="s">
        <v>36</v>
      </c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</row>
    <row r="8" spans="1:31" ht="20.45" customHeight="1" x14ac:dyDescent="0.25">
      <c r="A8" s="206" t="s">
        <v>58</v>
      </c>
      <c r="B8" s="219">
        <f>IRR_DPP!$L$7</f>
        <v>0.15470672654179407</v>
      </c>
      <c r="C8" s="207" t="s">
        <v>36</v>
      </c>
      <c r="D8" s="205"/>
      <c r="E8" s="205"/>
      <c r="F8" s="205"/>
      <c r="G8" s="205"/>
      <c r="H8" s="205"/>
      <c r="I8" s="205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  <c r="AD8" s="205"/>
      <c r="AE8" s="205"/>
    </row>
    <row r="9" spans="1:31" ht="20.45" customHeight="1" x14ac:dyDescent="0.25">
      <c r="A9" s="206" t="s">
        <v>41</v>
      </c>
      <c r="B9" s="218">
        <f>$B$4/$B$5</f>
        <v>6.2865472709373771</v>
      </c>
      <c r="C9" s="207" t="s">
        <v>40</v>
      </c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</row>
    <row r="10" spans="1:31" ht="20.45" customHeight="1" x14ac:dyDescent="0.25">
      <c r="A10" s="206" t="s">
        <v>59</v>
      </c>
      <c r="B10" s="218">
        <f>DPP_FromNPV(IRR_DPP!$E$3:$E$28,IRR_DPP!$A$3:$A$28,IRR_DPP!$C$3:$C$28)</f>
        <v>6.7869833666614605</v>
      </c>
      <c r="C10" s="207" t="s">
        <v>40</v>
      </c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</row>
    <row r="11" spans="1:31" ht="20.45" customHeight="1" x14ac:dyDescent="0.25">
      <c r="A11" s="205" t="s">
        <v>141</v>
      </c>
      <c r="B11" s="224">
        <f>'Απόδοση Εγκατάστασης'!$F$21/'Απόδοση Εγκατάστασης'!$D$21</f>
        <v>0.56533333333333335</v>
      </c>
      <c r="C11" s="205" t="s">
        <v>36</v>
      </c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</row>
    <row r="12" spans="1:31" ht="22.15" customHeight="1" x14ac:dyDescent="0.25">
      <c r="A12" s="205" t="s">
        <v>135</v>
      </c>
      <c r="B12" s="205">
        <f>'Απόδοση Εγκατάστασης'!$J$2</f>
        <v>0.2</v>
      </c>
      <c r="C12" s="205" t="s">
        <v>37</v>
      </c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5"/>
    </row>
    <row r="13" spans="1:31" ht="28.5" customHeight="1" x14ac:dyDescent="0.25">
      <c r="A13" s="211" t="s">
        <v>142</v>
      </c>
      <c r="B13" s="205"/>
      <c r="C13" s="205"/>
      <c r="D13" s="205"/>
      <c r="E13" s="205"/>
      <c r="F13" s="205"/>
      <c r="G13" s="205"/>
      <c r="H13" s="205"/>
      <c r="I13" s="206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</row>
    <row r="14" spans="1:31" ht="22.15" customHeight="1" x14ac:dyDescent="0.25">
      <c r="A14" s="220" t="s">
        <v>99</v>
      </c>
      <c r="B14" s="212" t="s">
        <v>143</v>
      </c>
      <c r="C14" s="212" t="s">
        <v>20</v>
      </c>
      <c r="D14" s="212" t="s">
        <v>61</v>
      </c>
      <c r="E14" s="212" t="s">
        <v>62</v>
      </c>
      <c r="F14" s="212" t="s">
        <v>100</v>
      </c>
      <c r="G14" s="212" t="s">
        <v>64</v>
      </c>
      <c r="H14" s="221" t="s">
        <v>65</v>
      </c>
      <c r="I14" s="212" t="s">
        <v>29</v>
      </c>
      <c r="J14" s="212" t="s">
        <v>101</v>
      </c>
      <c r="K14" s="212" t="s">
        <v>102</v>
      </c>
      <c r="L14" s="212" t="s">
        <v>103</v>
      </c>
      <c r="M14" s="212" t="s">
        <v>104</v>
      </c>
      <c r="N14" s="212" t="s">
        <v>105</v>
      </c>
      <c r="O14" s="212" t="s">
        <v>106</v>
      </c>
      <c r="P14" s="212" t="s">
        <v>107</v>
      </c>
      <c r="Q14" s="212" t="s">
        <v>108</v>
      </c>
      <c r="R14" s="212" t="s">
        <v>109</v>
      </c>
      <c r="S14" s="212" t="s">
        <v>110</v>
      </c>
      <c r="T14" s="212" t="s">
        <v>111</v>
      </c>
      <c r="U14" s="212" t="s">
        <v>112</v>
      </c>
      <c r="V14" s="212" t="s">
        <v>113</v>
      </c>
      <c r="W14" s="212" t="s">
        <v>114</v>
      </c>
      <c r="X14" s="212" t="s">
        <v>115</v>
      </c>
      <c r="Y14" s="212" t="s">
        <v>116</v>
      </c>
      <c r="Z14" s="212" t="s">
        <v>117</v>
      </c>
      <c r="AA14" s="212" t="s">
        <v>118</v>
      </c>
      <c r="AB14" s="212" t="s">
        <v>119</v>
      </c>
      <c r="AC14" s="212" t="s">
        <v>120</v>
      </c>
      <c r="AD14" s="212" t="s">
        <v>121</v>
      </c>
      <c r="AE14" s="212" t="s">
        <v>122</v>
      </c>
    </row>
    <row r="15" spans="1:31" ht="22.15" customHeight="1" x14ac:dyDescent="0.25">
      <c r="A15" s="210">
        <v>0</v>
      </c>
      <c r="B15" s="209">
        <f>AnnualSelfConsumptionFromCoincidenceChange('Απόδοση Εγκατάστασης'!$C$8:$C$19,'Απόδοση Εγκατάστασης'!$D$8:$D$19,'Απόδοση Εγκατάστασης'!$E$8:$E$19,$A15)/'Απόδοση Εγκατάστασης'!$D$21</f>
        <v>0.56533333333333335</v>
      </c>
      <c r="C15" s="251">
        <f>K$40</f>
        <v>19219.851851008301</v>
      </c>
      <c r="D15" s="208">
        <f>DPP_FromNPV(K$15:K$40,$I$15:$I$40,J$15:J$40)</f>
        <v>6.7869833666614614</v>
      </c>
      <c r="E15" s="210">
        <f t="shared" ref="E15:E25" si="0">D15-$B$10</f>
        <v>0</v>
      </c>
      <c r="F15" s="210">
        <f t="shared" ref="F15:F25" si="1">IF($B$11=0,"",(B15-$B$11)/$B$11)</f>
        <v>0</v>
      </c>
      <c r="G15" s="208">
        <f t="shared" ref="G15:G25" si="2">IF($B$10=0,"",(D15-$B$10)/$B$10)</f>
        <v>1.3086497663497636E-16</v>
      </c>
      <c r="H15" s="205" t="e">
        <f t="shared" ref="H15:H25" si="3">IFERROR(G15/F15,NA())</f>
        <v>#N/A</v>
      </c>
      <c r="I15" s="222">
        <v>0</v>
      </c>
      <c r="J15" s="209">
        <v>0</v>
      </c>
      <c r="K15" s="209">
        <f>-$B$4</f>
        <v>-9128</v>
      </c>
      <c r="L15" s="209">
        <v>0</v>
      </c>
      <c r="M15" s="209">
        <f>-$B$4</f>
        <v>-9128</v>
      </c>
      <c r="N15" s="209">
        <v>0</v>
      </c>
      <c r="O15" s="209">
        <f>-$B$4</f>
        <v>-9128</v>
      </c>
      <c r="P15" s="209">
        <v>0</v>
      </c>
      <c r="Q15" s="209">
        <f>-$B$4</f>
        <v>-9128</v>
      </c>
      <c r="R15" s="209">
        <v>0</v>
      </c>
      <c r="S15" s="209">
        <f>-$B$4</f>
        <v>-9128</v>
      </c>
      <c r="T15" s="209">
        <v>0</v>
      </c>
      <c r="U15" s="209">
        <f>-$B$4</f>
        <v>-9128</v>
      </c>
      <c r="V15" s="209">
        <v>0</v>
      </c>
      <c r="W15" s="209">
        <f>-$B$4</f>
        <v>-9128</v>
      </c>
      <c r="X15" s="209">
        <v>0</v>
      </c>
      <c r="Y15" s="209">
        <f>-$B$4</f>
        <v>-9128</v>
      </c>
      <c r="Z15" s="209">
        <v>0</v>
      </c>
      <c r="AA15" s="209">
        <f>-$B$4</f>
        <v>-9128</v>
      </c>
      <c r="AB15" s="209">
        <v>0</v>
      </c>
      <c r="AC15" s="209">
        <f>-$B$4</f>
        <v>-9128</v>
      </c>
      <c r="AD15" s="209">
        <v>0</v>
      </c>
      <c r="AE15" s="209">
        <f>-$B$4</f>
        <v>-9128</v>
      </c>
    </row>
    <row r="16" spans="1:31" ht="22.15" customHeight="1" x14ac:dyDescent="0.25">
      <c r="A16" s="210">
        <v>0.05</v>
      </c>
      <c r="B16" s="209">
        <f>AnnualSelfConsumptionFromCoincidenceChange('Απόδοση Εγκατάστασης'!$C$8:$C$19,'Απόδοση Εγκατάστασης'!$D$8:$D$19,'Απόδοση Εγκατάστασης'!$E$8:$E$19,$A16)/'Απόδοση Εγκατάστασης'!$D$21</f>
        <v>0.59360000000000002</v>
      </c>
      <c r="C16" s="251">
        <f>M$40</f>
        <v>19799.308039144336</v>
      </c>
      <c r="D16" s="208">
        <f>DPP_FromNPV(M$15:M$40,$I$15:$I$40,L$15:L$40)</f>
        <v>6.6423308570570612</v>
      </c>
      <c r="E16" s="210">
        <f t="shared" si="0"/>
        <v>-0.14465250960439935</v>
      </c>
      <c r="F16" s="210">
        <f t="shared" si="1"/>
        <v>4.9999999999999989E-2</v>
      </c>
      <c r="G16" s="210">
        <f t="shared" si="2"/>
        <v>-2.1313225889863112E-2</v>
      </c>
      <c r="H16" s="252">
        <f t="shared" si="3"/>
        <v>-0.42626451779726232</v>
      </c>
      <c r="I16" s="222">
        <v>1</v>
      </c>
      <c r="J16" s="209">
        <f>PV_CF_FromCoincidenceChange('Απόδοση Εγκατάστασης'!$C$8:$C$19,'Απόδοση Εγκατάστασης'!$D$8:$D$19,'Απόδοση Εγκατάστασης'!$E$8:$E$19,$A$15,$I16,$B$7,'Απόδοση Εγκατάστασης'!$C$21,'Απόδοση Εγκατάστασης'!$J$2,'Απόδοση Εγκατάστασης'!$J$3)</f>
        <v>1423.5190196078431</v>
      </c>
      <c r="K16" s="209">
        <f t="shared" ref="K16:K40" si="4">K15+J16</f>
        <v>-7704.4809803921571</v>
      </c>
      <c r="L16" s="209">
        <f>PV_CF_FromCoincidenceChange('Απόδοση Εγκατάστασης'!$C$8:$C$19,'Απόδοση Εγκατάστασης'!$D$8:$D$19,'Απόδοση Εγκατάστασης'!$E$8:$E$19,$A$16,$I16,$B$7,'Απόδοση Εγκατάστασης'!$C$21,'Απόδοση Εγκατάστασης'!$J$2,'Απόδοση Εγκατάστασης'!$J$3)</f>
        <v>1452.6170588235293</v>
      </c>
      <c r="M16" s="209">
        <f t="shared" ref="M16:M40" si="5">M15+L16</f>
        <v>-7675.3829411764709</v>
      </c>
      <c r="N16" s="209">
        <f>PV_CF_FromCoincidenceChange('Απόδοση Εγκατάστασης'!$C$8:$C$19,'Απόδοση Εγκατάστασης'!$D$8:$D$19,'Απόδοση Εγκατάστασης'!$E$8:$E$19,$A$17,$I16,$B$7,'Απόδοση Εγκατάστασης'!$C$21,'Απόδοση Εγκατάστασης'!$J$2,'Απόδοση Εγκατάστασης'!$J$3)</f>
        <v>1481.7150980392157</v>
      </c>
      <c r="O16" s="209">
        <f t="shared" ref="O16:O40" si="6">O15+N16</f>
        <v>-7646.2849019607838</v>
      </c>
      <c r="P16" s="209">
        <f>PV_CF_FromCoincidenceChange('Απόδοση Εγκατάστασης'!$C$8:$C$19,'Απόδοση Εγκατάστασης'!$D$8:$D$19,'Απόδοση Εγκατάστασης'!$E$8:$E$19,$A$18,$I16,$B$7,'Απόδοση Εγκατάστασης'!$C$21,'Απόδοση Εγκατάστασης'!$J$2,'Απόδοση Εγκατάστασης'!$J$3)</f>
        <v>1510.8131372549021</v>
      </c>
      <c r="Q16" s="209">
        <f t="shared" ref="Q16:Q40" si="7">Q15+P16</f>
        <v>-7617.1868627450976</v>
      </c>
      <c r="R16" s="209">
        <f>PV_CF_FromCoincidenceChange('Απόδοση Εγκατάστασης'!$C$8:$C$19,'Απόδοση Εγκατάστασης'!$D$8:$D$19,'Απόδοση Εγκατάστασης'!$E$8:$E$19,$A$19,$I16,$B$7,'Απόδοση Εγκατάστασης'!$C$21,'Απόδοση Εγκατάστασης'!$J$2,'Απόδοση Εγκατάστασης'!$J$3)</f>
        <v>1539.9111764705881</v>
      </c>
      <c r="S16" s="209">
        <f t="shared" ref="S16:S40" si="8">S15+R16</f>
        <v>-7588.0888235294115</v>
      </c>
      <c r="T16" s="209">
        <f>PV_CF_FromCoincidenceChange('Απόδοση Εγκατάστασης'!$C$8:$C$19,'Απόδοση Εγκατάστασης'!$D$8:$D$19,'Απόδοση Εγκατάστασης'!$E$8:$E$19,$A$20,$I16,$B$7,'Απόδοση Εγκατάστασης'!$C$21,'Απόδοση Εγκατάστασης'!$J$2,'Απόδοση Εγκατάστασης'!$J$3)</f>
        <v>1569.0092156862745</v>
      </c>
      <c r="U16" s="209">
        <f t="shared" ref="U16:U40" si="9">U15+T16</f>
        <v>-7558.9907843137253</v>
      </c>
      <c r="V16" s="209">
        <f>PV_CF_FromCoincidenceChange('Απόδοση Εγκατάστασης'!$C$8:$C$19,'Απόδοση Εγκατάστασης'!$D$8:$D$19,'Απόδοση Εγκατάστασης'!$E$8:$E$19,$A$21,$I16,$B$7,'Απόδοση Εγκατάστασης'!$C$21,'Απόδοση Εγκατάστασης'!$J$2,'Απόδοση Εγκατάστασης'!$J$3)</f>
        <v>1598.1072549019609</v>
      </c>
      <c r="W16" s="209">
        <f t="shared" ref="W16:W40" si="10">W15+V16</f>
        <v>-7529.8927450980391</v>
      </c>
      <c r="X16" s="209">
        <f>PV_CF_FromCoincidenceChange('Απόδοση Εγκατάστασης'!$C$8:$C$19,'Απόδοση Εγκατάστασης'!$D$8:$D$19,'Απόδοση Εγκατάστασης'!$E$8:$E$19,$A$22,$I16,$B$7,'Απόδοση Εγκατάστασης'!$C$21,'Απόδοση Εγκατάστασης'!$J$2,'Απόδοση Εγκατάστασης'!$J$3)</f>
        <v>1627.2052941176469</v>
      </c>
      <c r="Y16" s="209">
        <f t="shared" ref="Y16:Y40" si="11">Y15+X16</f>
        <v>-7500.7947058823529</v>
      </c>
      <c r="Z16" s="209">
        <f>PV_CF_FromCoincidenceChange('Απόδοση Εγκατάστασης'!$C$8:$C$19,'Απόδοση Εγκατάστασης'!$D$8:$D$19,'Απόδοση Εγκατάστασης'!$E$8:$E$19,$A$23,$I16,$B$7,'Απόδοση Εγκατάστασης'!$C$21,'Απόδοση Εγκατάστασης'!$J$2,'Απόδοση Εγκατάστασης'!$J$3)</f>
        <v>1656.3033333333333</v>
      </c>
      <c r="AA16" s="209">
        <f t="shared" ref="AA16:AA40" si="12">AA15+Z16</f>
        <v>-7471.6966666666667</v>
      </c>
      <c r="AB16" s="209">
        <f>PV_CF_FromCoincidenceChange('Απόδοση Εγκατάστασης'!$C$8:$C$19,'Απόδοση Εγκατάστασης'!$D$8:$D$19,'Απόδοση Εγκατάστασης'!$E$8:$E$19,$A$24,$I16,$B$7,'Απόδοση Εγκατάστασης'!$C$21,'Απόδοση Εγκατάστασης'!$J$2,'Απόδοση Εγκατάστασης'!$J$3)</f>
        <v>1680.2543137254902</v>
      </c>
      <c r="AC16" s="209">
        <f t="shared" ref="AC16:AC40" si="13">AC15+AB16</f>
        <v>-7447.7456862745094</v>
      </c>
      <c r="AD16" s="209">
        <f>PV_CF_FromCoincidenceChange('Απόδοση Εγκατάστασης'!$C$8:$C$19,'Απόδοση Εγκατάστασης'!$D$8:$D$19,'Απόδοση Εγκατάστασης'!$E$8:$E$19,$A$25,$I16,$B$7,'Απόδοση Εγκατάστασης'!$C$21,'Απόδοση Εγκατάστασης'!$J$2,'Απόδοση Εγκατάστασης'!$J$3)</f>
        <v>1697.342549019608</v>
      </c>
      <c r="AE16" s="209">
        <f t="shared" ref="AE16:AE40" si="14">AE15+AD16</f>
        <v>-7430.6574509803922</v>
      </c>
    </row>
    <row r="17" spans="1:31" ht="22.15" customHeight="1" x14ac:dyDescent="0.25">
      <c r="A17" s="210">
        <v>0.1</v>
      </c>
      <c r="B17" s="209">
        <f>AnnualSelfConsumptionFromCoincidenceChange('Απόδοση Εγκατάστασης'!$C$8:$C$19,'Απόδοση Εγκατάστασης'!$D$8:$D$19,'Απόδοση Εγκατάστασης'!$E$8:$E$19,$A17)/'Απόδοση Εγκατάστασης'!$D$21</f>
        <v>0.62186666666666668</v>
      </c>
      <c r="C17" s="251">
        <f>O$40</f>
        <v>20378.764227280375</v>
      </c>
      <c r="D17" s="208">
        <f>DPP_FromNPV(O$15:O$40,$I$15:$I$40,N$15:N$40)</f>
        <v>6.5033597424829033</v>
      </c>
      <c r="E17" s="210">
        <f t="shared" si="0"/>
        <v>-0.28362362417855724</v>
      </c>
      <c r="F17" s="210">
        <f t="shared" si="1"/>
        <v>9.9999999999999978E-2</v>
      </c>
      <c r="G17" s="210">
        <f t="shared" si="2"/>
        <v>-4.1789350121550779E-2</v>
      </c>
      <c r="H17" s="252">
        <f t="shared" si="3"/>
        <v>-0.41789350121550789</v>
      </c>
      <c r="I17" s="222">
        <v>2</v>
      </c>
      <c r="J17" s="209">
        <f>PV_CF_FromCoincidenceChange('Απόδοση Εγκατάστασης'!$C$8:$C$19,'Απόδοση Εγκατάστασης'!$D$8:$D$19,'Απόδοση Εγκατάστασης'!$E$8:$E$19,$A$15,$I17,$B$7,'Απόδοση Εγκατάστασης'!$C$21,'Απόδοση Εγκατάστασης'!$J$2,'Απόδοση Εγκατάστασης'!$J$3)</f>
        <v>1395.6068819684735</v>
      </c>
      <c r="K17" s="209">
        <f t="shared" si="4"/>
        <v>-6308.8740984236838</v>
      </c>
      <c r="L17" s="209">
        <f>PV_CF_FromCoincidenceChange('Απόδοση Εγκατάστασης'!$C$8:$C$19,'Απόδοση Εγκατάστασης'!$D$8:$D$19,'Απόδοση Εγκατάστασης'!$E$8:$E$19,$A$16,$I17,$B$7,'Απόδοση Εγκατάστασης'!$C$21,'Απόδοση Εγκατάστασης'!$J$2,'Απόδοση Εγκατάστασης'!$J$3)</f>
        <v>1424.1343713956171</v>
      </c>
      <c r="M17" s="209">
        <f t="shared" si="5"/>
        <v>-6251.2485697808534</v>
      </c>
      <c r="N17" s="209">
        <f>PV_CF_FromCoincidenceChange('Απόδοση Εγκατάστασης'!$C$8:$C$19,'Απόδοση Εγκατάστασης'!$D$8:$D$19,'Απόδοση Εγκατάστασης'!$E$8:$E$19,$A$17,$I17,$B$7,'Απόδοση Εγκατάστασης'!$C$21,'Απόδοση Εγκατάστασης'!$J$2,'Απόδοση Εγκατάστασης'!$J$3)</f>
        <v>1452.6618608227604</v>
      </c>
      <c r="O17" s="209">
        <f t="shared" si="6"/>
        <v>-6193.6230411380238</v>
      </c>
      <c r="P17" s="209">
        <f>PV_CF_FromCoincidenceChange('Απόδοση Εγκατάστασης'!$C$8:$C$19,'Απόδοση Εγκατάστασης'!$D$8:$D$19,'Απόδοση Εγκατάστασης'!$E$8:$E$19,$A$18,$I17,$B$7,'Απόδοση Εγκατάστασης'!$C$21,'Απόδοση Εγκατάστασης'!$J$2,'Απόδοση Εγκατάστασης'!$J$3)</f>
        <v>1481.189350249904</v>
      </c>
      <c r="Q17" s="209">
        <f t="shared" si="7"/>
        <v>-6135.9975124951934</v>
      </c>
      <c r="R17" s="209">
        <f>PV_CF_FromCoincidenceChange('Απόδοση Εγκατάστασης'!$C$8:$C$19,'Απόδοση Εγκατάστασης'!$D$8:$D$19,'Απόδοση Εγκατάστασης'!$E$8:$E$19,$A$19,$I17,$B$7,'Απόδοση Εγκατάστασης'!$C$21,'Απόδοση Εγκατάστασης'!$J$2,'Απόδοση Εγκατάστασης'!$J$3)</f>
        <v>1509.7168396770473</v>
      </c>
      <c r="S17" s="209">
        <f t="shared" si="8"/>
        <v>-6078.3719838523639</v>
      </c>
      <c r="T17" s="209">
        <f>PV_CF_FromCoincidenceChange('Απόδοση Εγκατάστασης'!$C$8:$C$19,'Απόδοση Εγκατάστασης'!$D$8:$D$19,'Απόδοση Εγκατάστασης'!$E$8:$E$19,$A$20,$I17,$B$7,'Απόδοση Εγκατάστασης'!$C$21,'Απόδοση Εγκατάστασης'!$J$2,'Απόδοση Εγκατάστασης'!$J$3)</f>
        <v>1538.2443291041907</v>
      </c>
      <c r="U17" s="209">
        <f t="shared" si="9"/>
        <v>-6020.7464552095344</v>
      </c>
      <c r="V17" s="209">
        <f>PV_CF_FromCoincidenceChange('Απόδοση Εγκατάστασης'!$C$8:$C$19,'Απόδοση Εγκατάστασης'!$D$8:$D$19,'Απόδοση Εγκατάστασης'!$E$8:$E$19,$A$21,$I17,$B$7,'Απόδοση Εγκατάστασης'!$C$21,'Απόδοση Εγκατάστασης'!$J$2,'Απόδοση Εγκατάστασης'!$J$3)</f>
        <v>1566.7718185313342</v>
      </c>
      <c r="W17" s="209">
        <f t="shared" si="10"/>
        <v>-5963.1209265667048</v>
      </c>
      <c r="X17" s="209">
        <f>PV_CF_FromCoincidenceChange('Απόδοση Εγκατάστασης'!$C$8:$C$19,'Απόδοση Εγκατάστασης'!$D$8:$D$19,'Απόδοση Εγκατάστασης'!$E$8:$E$19,$A$22,$I17,$B$7,'Απόδοση Εγκατάστασης'!$C$21,'Απόδοση Εγκατάστασης'!$J$2,'Απόδοση Εγκατάστασης'!$J$3)</f>
        <v>1595.2993079584774</v>
      </c>
      <c r="Y17" s="209">
        <f t="shared" si="11"/>
        <v>-5905.4953979238753</v>
      </c>
      <c r="Z17" s="209">
        <f>PV_CF_FromCoincidenceChange('Απόδοση Εγκατάστασης'!$C$8:$C$19,'Απόδοση Εγκατάστασης'!$D$8:$D$19,'Απόδοση Εγκατάστασης'!$E$8:$E$19,$A$23,$I17,$B$7,'Απόδοση Εγκατάστασης'!$C$21,'Απόδοση Εγκατάστασης'!$J$2,'Απόδοση Εγκατάστασης'!$J$3)</f>
        <v>1623.8267973856209</v>
      </c>
      <c r="AA17" s="209">
        <f t="shared" si="12"/>
        <v>-5847.8698692810458</v>
      </c>
      <c r="AB17" s="209">
        <f>PV_CF_FromCoincidenceChange('Απόδοση Εγκατάστασης'!$C$8:$C$19,'Απόδοση Εγκατάστασης'!$D$8:$D$19,'Απόδοση Εγκατάστασης'!$E$8:$E$19,$A$24,$I17,$B$7,'Απόδοση Εγκατάστασης'!$C$21,'Απόδοση Εγκατάστασης'!$J$2,'Απόδοση Εγκατάστασης'!$J$3)</f>
        <v>1647.3081507112649</v>
      </c>
      <c r="AC17" s="209">
        <f t="shared" si="13"/>
        <v>-5800.4375355632446</v>
      </c>
      <c r="AD17" s="209">
        <f>PV_CF_FromCoincidenceChange('Απόδοση Εγκατάστασης'!$C$8:$C$19,'Απόδοση Εγκατάστασης'!$D$8:$D$19,'Απόδοση Εγκατάστασης'!$E$8:$E$19,$A$25,$I17,$B$7,'Απόδοση Εγκατάστασης'!$C$21,'Απόδοση Εγκατάστασης'!$J$2,'Απόδοση Εγκατάστασης'!$J$3)</f>
        <v>1664.0613225682432</v>
      </c>
      <c r="AE17" s="209">
        <f t="shared" si="14"/>
        <v>-5766.5961284121495</v>
      </c>
    </row>
    <row r="18" spans="1:31" ht="22.15" customHeight="1" x14ac:dyDescent="0.25">
      <c r="A18" s="210">
        <v>0.15</v>
      </c>
      <c r="B18" s="209">
        <f>AnnualSelfConsumptionFromCoincidenceChange('Απόδοση Εγκατάστασης'!$C$8:$C$19,'Απόδοση Εγκατάστασης'!$D$8:$D$19,'Απόδοση Εγκατάστασης'!$E$8:$E$19,$A18)/'Απόδοση Εγκατάστασης'!$D$21</f>
        <v>0.65013333333333334</v>
      </c>
      <c r="C18" s="251">
        <f>Q$40</f>
        <v>20958.22041541641</v>
      </c>
      <c r="D18" s="208">
        <f>DPP_FromNPV(Q$15:Q$40,$I$15:$I$40,P$15:P$40)</f>
        <v>6.3697417544364558</v>
      </c>
      <c r="E18" s="210">
        <f t="shared" si="0"/>
        <v>-0.41724161222500467</v>
      </c>
      <c r="F18" s="210">
        <f t="shared" si="1"/>
        <v>0.14999999999999997</v>
      </c>
      <c r="G18" s="210">
        <f t="shared" si="2"/>
        <v>-6.1476740060178926E-2</v>
      </c>
      <c r="H18" s="252">
        <f t="shared" si="3"/>
        <v>-0.40984493373452624</v>
      </c>
      <c r="I18" s="222">
        <v>3</v>
      </c>
      <c r="J18" s="209">
        <f>PV_CF_FromCoincidenceChange('Απόδοση Εγκατάστασης'!$C$8:$C$19,'Απόδοση Εγκατάστασης'!$D$8:$D$19,'Απόδοση Εγκατάστασης'!$E$8:$E$19,$A$15,$I18,$B$7,'Απόδοση Εγκατάστασης'!$C$21,'Απόδοση Εγκατάστασης'!$J$2,'Απόδοση Εγκατάστασης'!$J$3)</f>
        <v>1368.2420411455621</v>
      </c>
      <c r="K18" s="209">
        <f t="shared" si="4"/>
        <v>-4940.6320572781215</v>
      </c>
      <c r="L18" s="209">
        <f>PV_CF_FromCoincidenceChange('Απόδοση Εγκατάστασης'!$C$8:$C$19,'Απόδοση Εγκατάστασης'!$D$8:$D$19,'Απόδοση Εγκατάστασης'!$E$8:$E$19,$A$16,$I18,$B$7,'Απόδοση Εγκατάστασης'!$C$21,'Απόδοση Εγκατάστασης'!$J$2,'Απόδοση Εγκατάστασης'!$J$3)</f>
        <v>1396.2101680349185</v>
      </c>
      <c r="M18" s="209">
        <f t="shared" si="5"/>
        <v>-4855.0384017459346</v>
      </c>
      <c r="N18" s="209">
        <f>PV_CF_FromCoincidenceChange('Απόδοση Εγκατάστασης'!$C$8:$C$19,'Απόδοση Εγκατάστασης'!$D$8:$D$19,'Απόδοση Εγκατάστασης'!$E$8:$E$19,$A$17,$I18,$B$7,'Απόδοση Εγκατάστασης'!$C$21,'Απόδοση Εγκατάστασης'!$J$2,'Απόδοση Εγκατάστασης'!$J$3)</f>
        <v>1424.1782949242747</v>
      </c>
      <c r="O18" s="209">
        <f t="shared" si="6"/>
        <v>-4769.4447462137487</v>
      </c>
      <c r="P18" s="209">
        <f>PV_CF_FromCoincidenceChange('Απόδοση Εγκατάστασης'!$C$8:$C$19,'Απόδοση Εγκατάστασης'!$D$8:$D$19,'Απόδοση Εγκατάστασης'!$E$8:$E$19,$A$18,$I18,$B$7,'Απόδοση Εγκατάστασης'!$C$21,'Απόδοση Εγκατάστασης'!$J$2,'Απόδοση Εγκατάστασης'!$J$3)</f>
        <v>1452.1464218136312</v>
      </c>
      <c r="Q18" s="209">
        <f t="shared" si="7"/>
        <v>-4683.8510906815627</v>
      </c>
      <c r="R18" s="209">
        <f>PV_CF_FromCoincidenceChange('Απόδοση Εγκατάστασης'!$C$8:$C$19,'Απόδοση Εγκατάστασης'!$D$8:$D$19,'Απόδοση Εγκατάστασης'!$E$8:$E$19,$A$19,$I18,$B$7,'Απόδοση Εγκατάστασης'!$C$21,'Απόδοση Εγκατάστασης'!$J$2,'Απόδοση Εγκατάστασης'!$J$3)</f>
        <v>1480.1145487029873</v>
      </c>
      <c r="S18" s="209">
        <f t="shared" si="8"/>
        <v>-4598.2574351493768</v>
      </c>
      <c r="T18" s="209">
        <f>PV_CF_FromCoincidenceChange('Απόδοση Εγκατάστασης'!$C$8:$C$19,'Απόδοση Εγκατάστασης'!$D$8:$D$19,'Απόδοση Εγκατάστασης'!$E$8:$E$19,$A$20,$I18,$B$7,'Απόδοση Εγκατάστασης'!$C$21,'Απόδοση Εγκατάστασης'!$J$2,'Απόδοση Εγκατάστασης'!$J$3)</f>
        <v>1508.0826755923435</v>
      </c>
      <c r="U18" s="209">
        <f t="shared" si="9"/>
        <v>-4512.6637796171908</v>
      </c>
      <c r="V18" s="209">
        <f>PV_CF_FromCoincidenceChange('Απόδοση Εγκατάστασης'!$C$8:$C$19,'Απόδοση Εγκατάστασης'!$D$8:$D$19,'Απόδοση Εγκατάστασης'!$E$8:$E$19,$A$21,$I18,$B$7,'Απόδοση Εγκατάστασης'!$C$21,'Απόδοση Εγκατάστασης'!$J$2,'Απόδοση Εγκατάστασης'!$J$3)</f>
        <v>1536.0508024817</v>
      </c>
      <c r="W18" s="209">
        <f t="shared" si="10"/>
        <v>-4427.0701240850049</v>
      </c>
      <c r="X18" s="209">
        <f>PV_CF_FromCoincidenceChange('Απόδοση Εγκατάστασης'!$C$8:$C$19,'Απόδοση Εγκατάστασης'!$D$8:$D$19,'Απόδοση Εγκατάστασης'!$E$8:$E$19,$A$22,$I18,$B$7,'Απόδοση Εγκατάστασης'!$C$21,'Απόδοση Εγκατάστασης'!$J$2,'Απόδοση Εγκατάστασης'!$J$3)</f>
        <v>1564.0189293710562</v>
      </c>
      <c r="Y18" s="209">
        <f t="shared" si="11"/>
        <v>-4341.4764685528189</v>
      </c>
      <c r="Z18" s="209">
        <f>PV_CF_FromCoincidenceChange('Απόδοση Εγκατάστασης'!$C$8:$C$19,'Απόδοση Εγκατάστασης'!$D$8:$D$19,'Απόδοση Εγκατάστασης'!$E$8:$E$19,$A$23,$I18,$B$7,'Απόδοση Εγκατάστασης'!$C$21,'Απόδοση Εγκατάστασης'!$J$2,'Απόδοση Εγκατάστασης'!$J$3)</f>
        <v>1591.9870562604124</v>
      </c>
      <c r="AA18" s="209">
        <f t="shared" si="12"/>
        <v>-4255.882813020633</v>
      </c>
      <c r="AB18" s="209">
        <f>PV_CF_FromCoincidenceChange('Απόδοση Εγκατάστασης'!$C$8:$C$19,'Απόδοση Εγκατάστασης'!$D$8:$D$19,'Απόδοση Εγκατάστασης'!$E$8:$E$19,$A$24,$I18,$B$7,'Απόδοση Εγκατάστασης'!$C$21,'Απόδοση Εγκατάστασης'!$J$2,'Απόδοση Εγκατάστασης'!$J$3)</f>
        <v>1615.0079908933967</v>
      </c>
      <c r="AC18" s="209">
        <f t="shared" si="13"/>
        <v>-4185.4295446698479</v>
      </c>
      <c r="AD18" s="209">
        <f>PV_CF_FromCoincidenceChange('Απόδοση Εγκατάστασης'!$C$8:$C$19,'Απόδοση Εγκατάστασης'!$D$8:$D$19,'Απόδοση Εγκατάστασης'!$E$8:$E$19,$A$25,$I18,$B$7,'Απόδοση Εγκατάστασης'!$C$21,'Απόδοση Εγκατάστασης'!$J$2,'Απόδοση Εγκατάστασης'!$J$3)</f>
        <v>1631.4326691845517</v>
      </c>
      <c r="AE18" s="209">
        <f t="shared" si="14"/>
        <v>-4135.1634592275977</v>
      </c>
    </row>
    <row r="19" spans="1:31" ht="22.15" customHeight="1" x14ac:dyDescent="0.25">
      <c r="A19" s="210">
        <v>0.2</v>
      </c>
      <c r="B19" s="209">
        <f>AnnualSelfConsumptionFromCoincidenceChange('Απόδοση Εγκατάστασης'!$C$8:$C$19,'Απόδοση Εγκατάστασης'!$D$8:$D$19,'Απόδοση Εγκατάστασης'!$E$8:$E$19,$A19)/'Απόδοση Εγκατάστασης'!$D$21</f>
        <v>0.6784</v>
      </c>
      <c r="C19" s="251">
        <f>S$40</f>
        <v>21537.676603552438</v>
      </c>
      <c r="D19" s="208">
        <f>DPP_FromNPV(S$15:S$40,$I$15:$I$40,R$15:R$40)</f>
        <v>6.2411734361573368</v>
      </c>
      <c r="E19" s="210">
        <f t="shared" si="0"/>
        <v>-0.54580993050412374</v>
      </c>
      <c r="F19" s="210">
        <f t="shared" si="1"/>
        <v>0.19999999999999996</v>
      </c>
      <c r="G19" s="210">
        <f t="shared" si="2"/>
        <v>-8.0420107287313039E-2</v>
      </c>
      <c r="H19" s="252">
        <f t="shared" si="3"/>
        <v>-0.40210053643656529</v>
      </c>
      <c r="I19" s="222">
        <v>4</v>
      </c>
      <c r="J19" s="209">
        <f>PV_CF_FromCoincidenceChange('Απόδοση Εγκατάστασης'!$C$8:$C$19,'Απόδοση Εγκατάστασης'!$D$8:$D$19,'Απόδοση Εγκατάστασης'!$E$8:$E$19,$A$15,$I19,$B$7,'Απόδοση Εγκατάστασης'!$C$21,'Απόδοση Εγκατάστασης'!$J$2,'Απόδοση Εγκατάστασης'!$J$3)</f>
        <v>1341.4137658289828</v>
      </c>
      <c r="K19" s="209">
        <f t="shared" si="4"/>
        <v>-3599.2182914491386</v>
      </c>
      <c r="L19" s="209">
        <f>PV_CF_FromCoincidenceChange('Απόδοση Εγκατάστασης'!$C$8:$C$19,'Απόδοση Εγκατάστασης'!$D$8:$D$19,'Απόδοση Εγκατάστασης'!$E$8:$E$19,$A$16,$I19,$B$7,'Απόδοση Εγκατάστασης'!$C$21,'Απόδοση Εγκατάστασης'!$J$2,'Απόδοση Εγκατάστασης'!$J$3)</f>
        <v>1368.8334980734496</v>
      </c>
      <c r="M19" s="209">
        <f t="shared" si="5"/>
        <v>-3486.2049036724848</v>
      </c>
      <c r="N19" s="209">
        <f>PV_CF_FromCoincidenceChange('Απόδοση Εγκατάστασης'!$C$8:$C$19,'Απόδοση Εγκατάστασης'!$D$8:$D$19,'Απόδοση Εγκατάστασης'!$E$8:$E$19,$A$17,$I19,$B$7,'Απόδοση Εγκατάστασης'!$C$21,'Απόδοση Εγκατάστασης'!$J$2,'Απόδοση Εγκατάστασης'!$J$3)</f>
        <v>1396.2532303179166</v>
      </c>
      <c r="O19" s="209">
        <f t="shared" si="6"/>
        <v>-3373.1915158958318</v>
      </c>
      <c r="P19" s="209">
        <f>PV_CF_FromCoincidenceChange('Απόδοση Εγκατάστασης'!$C$8:$C$19,'Απόδοση Εγκατάστασης'!$D$8:$D$19,'Απόδοση Εγκατάστασης'!$E$8:$E$19,$A$18,$I19,$B$7,'Απόδοση Εγκατάστασης'!$C$21,'Απόδοση Εγκατάστασης'!$J$2,'Απόδοση Εγκατάστασης'!$J$3)</f>
        <v>1423.6729625623836</v>
      </c>
      <c r="Q19" s="209">
        <f t="shared" si="7"/>
        <v>-3260.1781281191788</v>
      </c>
      <c r="R19" s="209">
        <f>PV_CF_FromCoincidenceChange('Απόδοση Εγκατάστασης'!$C$8:$C$19,'Απόδοση Εγκατάστασης'!$D$8:$D$19,'Απόδοση Εγκατάστασης'!$E$8:$E$19,$A$19,$I19,$B$7,'Απόδοση Εγκατάστασης'!$C$21,'Απόδοση Εγκατάστασης'!$J$2,'Απόδοση Εγκατάστασης'!$J$3)</f>
        <v>1451.0926948068504</v>
      </c>
      <c r="S19" s="209">
        <f t="shared" si="8"/>
        <v>-3147.1647403425263</v>
      </c>
      <c r="T19" s="209">
        <f>PV_CF_FromCoincidenceChange('Απόδοση Εγκατάστασης'!$C$8:$C$19,'Απόδοση Εγκατάστασης'!$D$8:$D$19,'Απόδοση Εγκατάστασης'!$E$8:$E$19,$A$20,$I19,$B$7,'Απόδοση Εγκατάστασης'!$C$21,'Απόδοση Εγκατάστασης'!$J$2,'Απόδοση Εγκατάστασης'!$J$3)</f>
        <v>1478.5124270513174</v>
      </c>
      <c r="U19" s="209">
        <f t="shared" si="9"/>
        <v>-3034.1513525658734</v>
      </c>
      <c r="V19" s="209">
        <f>PV_CF_FromCoincidenceChange('Απόδοση Εγκατάστασης'!$C$8:$C$19,'Απόδοση Εγκατάστασης'!$D$8:$D$19,'Απόδοση Εγκατάστασης'!$E$8:$E$19,$A$21,$I19,$B$7,'Απόδοση Εγκατάστασης'!$C$21,'Απόδοση Εγκατάστασης'!$J$2,'Απόδοση Εγκατάστασης'!$J$3)</f>
        <v>1505.9321592957845</v>
      </c>
      <c r="W19" s="209">
        <f t="shared" si="10"/>
        <v>-2921.1379647892204</v>
      </c>
      <c r="X19" s="209">
        <f>PV_CF_FromCoincidenceChange('Απόδοση Εγκατάστασης'!$C$8:$C$19,'Απόδοση Εγκατάστασης'!$D$8:$D$19,'Απόδοση Εγκατάστασης'!$E$8:$E$19,$A$22,$I19,$B$7,'Απόδοση Εγκατάστασης'!$C$21,'Απόδοση Εγκατάστασης'!$J$2,'Απόδοση Εγκατάστασης'!$J$3)</f>
        <v>1533.3518915402512</v>
      </c>
      <c r="Y19" s="209">
        <f t="shared" si="11"/>
        <v>-2808.1245770125679</v>
      </c>
      <c r="Z19" s="209">
        <f>PV_CF_FromCoincidenceChange('Απόδοση Εγκατάστασης'!$C$8:$C$19,'Απόδοση Εγκατάστασης'!$D$8:$D$19,'Απόδοση Εγκατάστασης'!$E$8:$E$19,$A$23,$I19,$B$7,'Απόδοση Εγκατάστασης'!$C$21,'Απόδοση Εγκατάστασης'!$J$2,'Απόδοση Εγκατάστασης'!$J$3)</f>
        <v>1560.7716237847183</v>
      </c>
      <c r="AA19" s="209">
        <f t="shared" si="12"/>
        <v>-2695.1111892359149</v>
      </c>
      <c r="AB19" s="209">
        <f>PV_CF_FromCoincidenceChange('Απόδοση Εγκατάστασης'!$C$8:$C$19,'Απόδοση Εγκατάστασης'!$D$8:$D$19,'Απόδοση Εγκατάστασης'!$E$8:$E$19,$A$24,$I19,$B$7,'Απόδοση Εγκατάστασης'!$C$21,'Απόδοση Εγκατάστασης'!$J$2,'Απόδοση Εγκατάστασης'!$J$3)</f>
        <v>1583.3411675425461</v>
      </c>
      <c r="AC19" s="209">
        <f t="shared" si="13"/>
        <v>-2602.088377127302</v>
      </c>
      <c r="AD19" s="209">
        <f>PV_CF_FromCoincidenceChange('Απόδοση Εγκατάστασης'!$C$8:$C$19,'Απόδοση Εγκατάστασης'!$D$8:$D$19,'Απόδοση Εγκατάστασης'!$E$8:$E$19,$A$25,$I19,$B$7,'Απόδοση Εγκατάστασης'!$C$21,'Απόδοση Εγκατάστασης'!$J$2,'Απόδοση Εγκατάστασης'!$J$3)</f>
        <v>1599.4437933181882</v>
      </c>
      <c r="AE19" s="209">
        <f t="shared" si="14"/>
        <v>-2535.7196659094097</v>
      </c>
    </row>
    <row r="20" spans="1:31" ht="22.15" customHeight="1" x14ac:dyDescent="0.25">
      <c r="A20" s="210">
        <v>0.25</v>
      </c>
      <c r="B20" s="209">
        <f>AnnualSelfConsumptionFromCoincidenceChange('Απόδοση Εγκατάστασης'!$C$8:$C$19,'Απόδοση Εγκατάστασης'!$D$8:$D$19,'Απόδοση Εγκατάστασης'!$E$8:$E$19,$A20)/'Απόδοση Εγκατάστασης'!$D$21</f>
        <v>0.70666666666666667</v>
      </c>
      <c r="C20" s="251">
        <f>U$40</f>
        <v>22117.132791688477</v>
      </c>
      <c r="D20" s="208">
        <f>DPP_FromNPV(U$15:U$40,$I$15:$I$40,T$15:T$40)</f>
        <v>6.1173738418981634</v>
      </c>
      <c r="E20" s="210">
        <f t="shared" si="0"/>
        <v>-0.66960952476329716</v>
      </c>
      <c r="F20" s="210">
        <f t="shared" si="1"/>
        <v>0.24999999999999994</v>
      </c>
      <c r="G20" s="210">
        <f t="shared" si="2"/>
        <v>-9.8660846592391202E-2</v>
      </c>
      <c r="H20" s="252">
        <f t="shared" si="3"/>
        <v>-0.39464338636956492</v>
      </c>
      <c r="I20" s="222">
        <v>5</v>
      </c>
      <c r="J20" s="209">
        <f>PV_CF_FromCoincidenceChange('Απόδοση Εγκατάστασης'!$C$8:$C$19,'Απόδοση Εγκατάστασης'!$D$8:$D$19,'Απόδοση Εγκατάστασης'!$E$8:$E$19,$A$15,$I20,$B$7,'Απόδοση Εγκατάστασης'!$C$21,'Απόδοση Εγκατάστασης'!$J$2,'Απόδοση Εγκατάστασης'!$J$3)</f>
        <v>1315.1115351264536</v>
      </c>
      <c r="K20" s="209">
        <f t="shared" si="4"/>
        <v>-2284.1067563226852</v>
      </c>
      <c r="L20" s="209">
        <f>PV_CF_FromCoincidenceChange('Απόδοση Εγκατάστασης'!$C$8:$C$19,'Απόδοση Εγκατάστασης'!$D$8:$D$19,'Απόδοση Εγκατάστασης'!$E$8:$E$19,$A$16,$I20,$B$7,'Απόδοση Εγκατάστασης'!$C$21,'Απόδοση Εγκατάστασης'!$J$2,'Απόδοση Εγκατάστασης'!$J$3)</f>
        <v>1341.9936255622056</v>
      </c>
      <c r="M20" s="209">
        <f t="shared" si="5"/>
        <v>-2144.2112781102792</v>
      </c>
      <c r="N20" s="209">
        <f>PV_CF_FromCoincidenceChange('Απόδοση Εγκατάστασης'!$C$8:$C$19,'Απόδοση Εγκατάστασης'!$D$8:$D$19,'Απόδοση Εγκατάστασης'!$E$8:$E$19,$A$17,$I20,$B$7,'Απόδοση Εγκατάστασης'!$C$21,'Απόδοση Εγκατάστασης'!$J$2,'Απόδοση Εγκατάστασης'!$J$3)</f>
        <v>1368.8757159979575</v>
      </c>
      <c r="O20" s="209">
        <f t="shared" si="6"/>
        <v>-2004.3157998978743</v>
      </c>
      <c r="P20" s="209">
        <f>PV_CF_FromCoincidenceChange('Απόδοση Εγκατάστασης'!$C$8:$C$19,'Απόδοση Εγκατάστασης'!$D$8:$D$19,'Απόδοση Εγκατάστασης'!$E$8:$E$19,$A$18,$I20,$B$7,'Απόδοση Εγκατάστασης'!$C$21,'Απόδοση Εγκατάστασης'!$J$2,'Απόδοση Εγκατάστασης'!$J$3)</f>
        <v>1395.7578064337094</v>
      </c>
      <c r="Q20" s="209">
        <f t="shared" si="7"/>
        <v>-1864.4203216854694</v>
      </c>
      <c r="R20" s="209">
        <f>PV_CF_FromCoincidenceChange('Απόδοση Εγκατάστασης'!$C$8:$C$19,'Απόδοση Εγκατάστασης'!$D$8:$D$19,'Απόδοση Εγκατάστασης'!$E$8:$E$19,$A$19,$I20,$B$7,'Απόδοση Εγκατάστασης'!$C$21,'Απόδοση Εγκατάστασης'!$J$2,'Απόδοση Εγκατάστασης'!$J$3)</f>
        <v>1422.6398968694612</v>
      </c>
      <c r="S20" s="209">
        <f t="shared" si="8"/>
        <v>-1724.5248434730652</v>
      </c>
      <c r="T20" s="209">
        <f>PV_CF_FromCoincidenceChange('Απόδοση Εγκατάστασης'!$C$8:$C$19,'Απόδοση Εγκατάστασης'!$D$8:$D$19,'Απόδοση Εγκατάστασης'!$E$8:$E$19,$A$20,$I20,$B$7,'Απόδοση Εγκατάστασης'!$C$21,'Απόδοση Εγκατάστασης'!$J$2,'Απόδοση Εγκατάστασης'!$J$3)</f>
        <v>1449.5219873052133</v>
      </c>
      <c r="U20" s="209">
        <f t="shared" si="9"/>
        <v>-1584.6293652606601</v>
      </c>
      <c r="V20" s="209">
        <f>PV_CF_FromCoincidenceChange('Απόδοση Εγκατάστασης'!$C$8:$C$19,'Απόδοση Εγκατάστασης'!$D$8:$D$19,'Απόδοση Εγκατάστασης'!$E$8:$E$19,$A$21,$I20,$B$7,'Απόδοση Εγκατάστασης'!$C$21,'Απόδοση Εγκατάστασης'!$J$2,'Απόδοση Εγκατάστασης'!$J$3)</f>
        <v>1476.4040777409652</v>
      </c>
      <c r="W20" s="209">
        <f t="shared" si="10"/>
        <v>-1444.7338870482552</v>
      </c>
      <c r="X20" s="209">
        <f>PV_CF_FromCoincidenceChange('Απόδοση Εγκατάστασης'!$C$8:$C$19,'Απόδοση Εγκατάστασης'!$D$8:$D$19,'Απόδοση Εγκατάστασης'!$E$8:$E$19,$A$22,$I20,$B$7,'Απόδοση Εγκατάστασης'!$C$21,'Απόδοση Εγκατάστασης'!$J$2,'Απόδοση Εγκατάστασης'!$J$3)</f>
        <v>1503.286168176717</v>
      </c>
      <c r="Y20" s="209">
        <f t="shared" si="11"/>
        <v>-1304.8384088358509</v>
      </c>
      <c r="Z20" s="209">
        <f>PV_CF_FromCoincidenceChange('Απόδοση Εγκατάστασης'!$C$8:$C$19,'Απόδοση Εγκατάστασης'!$D$8:$D$19,'Απόδοση Εγκατάστασης'!$E$8:$E$19,$A$23,$I20,$B$7,'Απόδοση Εγκατάστασης'!$C$21,'Απόδοση Εγκατάστασης'!$J$2,'Απόδοση Εγκατάστασης'!$J$3)</f>
        <v>1530.1682586124689</v>
      </c>
      <c r="AA20" s="209">
        <f t="shared" si="12"/>
        <v>-1164.942930623446</v>
      </c>
      <c r="AB20" s="209">
        <f>PV_CF_FromCoincidenceChange('Απόδοση Εγκατάστασης'!$C$8:$C$19,'Απόδοση Εγκατάστασης'!$D$8:$D$19,'Απόδοση Εγκατάστασης'!$E$8:$E$19,$A$24,$I20,$B$7,'Απόδοση Εγκατάστασης'!$C$21,'Απόδοση Εγκατάστασης'!$J$2,'Απόδοση Εγκατάστασης'!$J$3)</f>
        <v>1552.2952622966138</v>
      </c>
      <c r="AC20" s="209">
        <f t="shared" si="13"/>
        <v>-1049.7931148306882</v>
      </c>
      <c r="AD20" s="209">
        <f>PV_CF_FromCoincidenceChange('Απόδοση Εγκατάστασης'!$C$8:$C$19,'Απόδοση Εγκατάστασης'!$D$8:$D$19,'Απόδοση Εγκατάστασης'!$E$8:$E$19,$A$25,$I20,$B$7,'Απόδοση Εγκατάστασης'!$C$21,'Απόδοση Εγκατάστασης'!$J$2,'Απόδοση Εγκατάστασης'!$J$3)</f>
        <v>1568.0821503119494</v>
      </c>
      <c r="AE20" s="209">
        <f t="shared" si="14"/>
        <v>-967.63751559746038</v>
      </c>
    </row>
    <row r="21" spans="1:31" ht="22.15" customHeight="1" x14ac:dyDescent="0.25">
      <c r="A21" s="210">
        <v>0.3</v>
      </c>
      <c r="B21" s="209">
        <f>AnnualSelfConsumptionFromCoincidenceChange('Απόδοση Εγκατάστασης'!$C$8:$C$19,'Απόδοση Εγκατάστασης'!$D$8:$D$19,'Απόδοση Εγκατάστασης'!$E$8:$E$19,$A21)/'Απόδοση Εγκατάστασης'!$D$21</f>
        <v>0.73493333333333333</v>
      </c>
      <c r="C21" s="251">
        <f>W$40</f>
        <v>22696.588979824515</v>
      </c>
      <c r="D21" s="208">
        <f>DPP_FromNPV(W$15:W$40,$I$15:$I$40,V$15:V$40)</f>
        <v>5.9981200858263737</v>
      </c>
      <c r="E21" s="210">
        <f t="shared" si="0"/>
        <v>-0.78886328083508683</v>
      </c>
      <c r="F21" s="210">
        <f t="shared" si="1"/>
        <v>0.29999999999999993</v>
      </c>
      <c r="G21" s="210">
        <f t="shared" si="2"/>
        <v>-0.11623179816677984</v>
      </c>
      <c r="H21" s="252">
        <f t="shared" si="3"/>
        <v>-0.38743932722259955</v>
      </c>
      <c r="I21" s="222">
        <v>6</v>
      </c>
      <c r="J21" s="209">
        <f>PV_CF_FromCoincidenceChange('Απόδοση Εγκατάστασης'!$C$8:$C$19,'Απόδοση Εγκατάστασης'!$D$8:$D$19,'Απόδοση Εγκατάστασης'!$E$8:$E$19,$A$15,$I21,$B$7,'Απόδοση Εγκατάστασης'!$C$21,'Απόδοση Εγκατάστασης'!$J$2,'Απόδοση Εγκατάστασης'!$J$3)</f>
        <v>1289.3250344376995</v>
      </c>
      <c r="K21" s="209">
        <f t="shared" si="4"/>
        <v>-994.7817218849857</v>
      </c>
      <c r="L21" s="209">
        <f>PV_CF_FromCoincidenceChange('Απόδοση Εγκατάστασης'!$C$8:$C$19,'Απόδοση Εγκατάστασης'!$D$8:$D$19,'Απόδοση Εγκατάστασης'!$E$8:$E$19,$A$16,$I21,$B$7,'Απόδοση Εγκατάστασης'!$C$21,'Απόδοση Εγκατάστασης'!$J$2,'Απόδοση Εγκατάστασης'!$J$3)</f>
        <v>1315.6800250609858</v>
      </c>
      <c r="M21" s="209">
        <f t="shared" si="5"/>
        <v>-828.53125304929335</v>
      </c>
      <c r="N21" s="209">
        <f>PV_CF_FromCoincidenceChange('Απόδοση Εγκατάστασης'!$C$8:$C$19,'Απόδοση Εγκατάστασης'!$D$8:$D$19,'Απόδοση Εγκατάστασης'!$E$8:$E$19,$A$17,$I21,$B$7,'Απόδοση Εγκατάστασης'!$C$21,'Απόδοση Εγκατάστασης'!$J$2,'Απόδοση Εγκατάστασης'!$J$3)</f>
        <v>1342.0350156842719</v>
      </c>
      <c r="O21" s="209">
        <f t="shared" si="6"/>
        <v>-662.28078421360237</v>
      </c>
      <c r="P21" s="209">
        <f>PV_CF_FromCoincidenceChange('Απόδοση Εγκατάστασης'!$C$8:$C$19,'Απόδοση Εγκατάστασης'!$D$8:$D$19,'Απόδοση Εγκατάστασης'!$E$8:$E$19,$A$18,$I21,$B$7,'Απόδοση Εγκατάστασης'!$C$21,'Απόδοση Εγκατάστασης'!$J$2,'Απόδοση Εγκατάστασης'!$J$3)</f>
        <v>1368.3900063075582</v>
      </c>
      <c r="Q21" s="209">
        <f t="shared" si="7"/>
        <v>-496.03031537791117</v>
      </c>
      <c r="R21" s="209">
        <f>PV_CF_FromCoincidenceChange('Απόδοση Εγκατάστασης'!$C$8:$C$19,'Απόδοση Εγκατάστασης'!$D$8:$D$19,'Απόδοση Εγκατάστασης'!$E$8:$E$19,$A$19,$I21,$B$7,'Απόδοση Εγκατάστασης'!$C$21,'Απόδοση Εγκατάστασης'!$J$2,'Απόδοση Εγκατάστασης'!$J$3)</f>
        <v>1394.7449969308443</v>
      </c>
      <c r="S21" s="209">
        <f t="shared" si="8"/>
        <v>-329.77984654222087</v>
      </c>
      <c r="T21" s="209">
        <f>PV_CF_FromCoincidenceChange('Απόδοση Εγκατάστασης'!$C$8:$C$19,'Απόδοση Εγκατάστασης'!$D$8:$D$19,'Απόδοση Εγκατάστασης'!$E$8:$E$19,$A$20,$I21,$B$7,'Απόδοση Εγκατάστασης'!$C$21,'Απόδοση Εγκατάστασης'!$J$2,'Απόδοση Εγκατάστασης'!$J$3)</f>
        <v>1421.0999875541306</v>
      </c>
      <c r="U21" s="209">
        <f t="shared" si="9"/>
        <v>-163.52937770652943</v>
      </c>
      <c r="V21" s="209">
        <f>PV_CF_FromCoincidenceChange('Απόδοση Εγκατάστασης'!$C$8:$C$19,'Απόδοση Εγκατάστασης'!$D$8:$D$19,'Απόδοση Εγκατάστασης'!$E$8:$E$19,$A$21,$I21,$B$7,'Απόδοση Εγκατάστασης'!$C$21,'Απόδοση Εγκατάστασης'!$J$2,'Απόδοση Εγκατάστασης'!$J$3)</f>
        <v>1447.4549781774167</v>
      </c>
      <c r="W21" s="209">
        <f t="shared" si="10"/>
        <v>2.7210911291615503</v>
      </c>
      <c r="X21" s="209">
        <f>PV_CF_FromCoincidenceChange('Απόδοση Εγκατάστασης'!$C$8:$C$19,'Απόδοση Εγκατάστασης'!$D$8:$D$19,'Απόδοση Εγκατάστασης'!$E$8:$E$19,$A$22,$I21,$B$7,'Απόδοση Εγκατάστασης'!$C$21,'Απόδοση Εγκατάστασης'!$J$2,'Απόδοση Εγκατάστασης'!$J$3)</f>
        <v>1473.8099688007028</v>
      </c>
      <c r="Y21" s="209">
        <f t="shared" si="11"/>
        <v>168.97155996485185</v>
      </c>
      <c r="Z21" s="209">
        <f>PV_CF_FromCoincidenceChange('Απόδοση Εγκατάστασης'!$C$8:$C$19,'Απόδοση Εγκατάστασης'!$D$8:$D$19,'Απόδοση Εγκατάστασης'!$E$8:$E$19,$A$23,$I21,$B$7,'Απόδοση Εγκατάστασης'!$C$21,'Απόδοση Εγκατάστασης'!$J$2,'Απόδοση Εγκατάστασης'!$J$3)</f>
        <v>1500.1649594239891</v>
      </c>
      <c r="AA21" s="209">
        <f t="shared" si="12"/>
        <v>335.22202880054306</v>
      </c>
      <c r="AB21" s="209">
        <f>PV_CF_FromCoincidenceChange('Απόδοση Εγκατάστασης'!$C$8:$C$19,'Απόδοση Εγκατάστασης'!$D$8:$D$19,'Απόδοση Εγκατάστασης'!$E$8:$E$19,$A$24,$I21,$B$7,'Απόδοση Εγκατάστασης'!$C$21,'Απόδοση Εγκατάστασης'!$J$2,'Απόδοση Εγκατάστασης'!$J$3)</f>
        <v>1521.8581002907977</v>
      </c>
      <c r="AC21" s="209">
        <f t="shared" si="13"/>
        <v>472.06498546010948</v>
      </c>
      <c r="AD21" s="209">
        <f>PV_CF_FromCoincidenceChange('Απόδοση Εγκατάστασης'!$C$8:$C$19,'Απόδοση Εγκατάστασης'!$D$8:$D$19,'Απόδοση Εγκατάστασης'!$E$8:$E$19,$A$25,$I21,$B$7,'Απόδοση Εγκατάστασης'!$C$21,'Απόδοση Εγκατάστασης'!$J$2,'Απόδοση Εγκατάστασης'!$J$3)</f>
        <v>1537.3354414823032</v>
      </c>
      <c r="AE21" s="209">
        <f t="shared" si="14"/>
        <v>569.69792588484279</v>
      </c>
    </row>
    <row r="22" spans="1:31" ht="22.15" customHeight="1" x14ac:dyDescent="0.25">
      <c r="A22" s="210">
        <v>0.35</v>
      </c>
      <c r="B22" s="209">
        <f>AnnualSelfConsumptionFromCoincidenceChange('Απόδοση Εγκατάστασης'!$C$8:$C$19,'Απόδοση Εγκατάστασης'!$D$8:$D$19,'Απόδοση Εγκατάστασης'!$E$8:$E$19,$A22)/'Απόδοση Εγκατάστασης'!$D$21</f>
        <v>0.76319999999999999</v>
      </c>
      <c r="C22" s="251">
        <f>Y$40</f>
        <v>23276.045167960539</v>
      </c>
      <c r="D22" s="208">
        <f>DPP_FromNPV(Y$15:Y$40,$I$15:$I$40,X$15:X$40)</f>
        <v>5.8853505108922892</v>
      </c>
      <c r="E22" s="210">
        <f t="shared" si="0"/>
        <v>-0.90163285576917129</v>
      </c>
      <c r="F22" s="210">
        <f t="shared" si="1"/>
        <v>0.34999999999999992</v>
      </c>
      <c r="G22" s="210">
        <f t="shared" si="2"/>
        <v>-0.13284736488350751</v>
      </c>
      <c r="H22" s="252">
        <f t="shared" si="3"/>
        <v>-0.37956389966716442</v>
      </c>
      <c r="I22" s="222">
        <v>7</v>
      </c>
      <c r="J22" s="209">
        <f>PV_CF_FromCoincidenceChange('Απόδοση Εγκατάστασης'!$C$8:$C$19,'Απόδοση Εγκατάστασης'!$D$8:$D$19,'Απόδοση Εγκατάστασης'!$E$8:$E$19,$A$15,$I22,$B$7,'Απόδοση Εγκατάστασης'!$C$21,'Απόδοση Εγκατάστασης'!$J$2,'Απόδοση Εγκατάστασης'!$J$3)</f>
        <v>1264.0441514095094</v>
      </c>
      <c r="K22" s="209">
        <f t="shared" si="4"/>
        <v>269.26242952452367</v>
      </c>
      <c r="L22" s="209">
        <f>PV_CF_FromCoincidenceChange('Απόδοση Εγκατάστασης'!$C$8:$C$19,'Απόδοση Εγκατάστασης'!$D$8:$D$19,'Απόδοση Εγκατάστασης'!$E$8:$E$19,$A$16,$I22,$B$7,'Απόδοση Εγκατάστασης'!$C$21,'Απόδοση Εγκατάστασης'!$J$2,'Απόδοση Εγκατάστασης'!$J$3)</f>
        <v>1289.8823775107703</v>
      </c>
      <c r="M22" s="209">
        <f t="shared" si="5"/>
        <v>461.35112446147696</v>
      </c>
      <c r="N22" s="209">
        <f>PV_CF_FromCoincidenceChange('Απόδοση Εγκατάστασης'!$C$8:$C$19,'Απόδοση Εγκατάστασης'!$D$8:$D$19,'Απόδοση Εγκατάστασης'!$E$8:$E$19,$A$17,$I22,$B$7,'Απόδοση Εγκατάστασης'!$C$21,'Απόδοση Εγκατάστασης'!$J$2,'Απόδοση Εγκατάστασης'!$J$3)</f>
        <v>1315.7206036120315</v>
      </c>
      <c r="O22" s="209">
        <f t="shared" si="6"/>
        <v>653.43981939842911</v>
      </c>
      <c r="P22" s="209">
        <f>PV_CF_FromCoincidenceChange('Απόδοση Εγκατάστασης'!$C$8:$C$19,'Απόδοση Εγκατάστασης'!$D$8:$D$19,'Απόδοση Εγκατάστασης'!$E$8:$E$19,$A$18,$I22,$B$7,'Απόδοση Εγκατάστασης'!$C$21,'Απόδοση Εγκατάστασης'!$J$2,'Απόδοση Εγκατάστασης'!$J$3)</f>
        <v>1341.5588297132924</v>
      </c>
      <c r="Q22" s="209">
        <f t="shared" si="7"/>
        <v>845.52851433538126</v>
      </c>
      <c r="R22" s="209">
        <f>PV_CF_FromCoincidenceChange('Απόδοση Εγκατάστασης'!$C$8:$C$19,'Απόδοση Εγκατάστασης'!$D$8:$D$19,'Απόδοση Εγκατάστασης'!$E$8:$E$19,$A$19,$I22,$B$7,'Απόδοση Εγκατάστασης'!$C$21,'Απόδοση Εγκατάστασης'!$J$2,'Απόδοση Εγκατάστασης'!$J$3)</f>
        <v>1367.3970558145534</v>
      </c>
      <c r="S22" s="209">
        <f t="shared" si="8"/>
        <v>1037.6172092723325</v>
      </c>
      <c r="T22" s="209">
        <f>PV_CF_FromCoincidenceChange('Απόδοση Εγκατάστασης'!$C$8:$C$19,'Απόδοση Εγκατάστασης'!$D$8:$D$19,'Απόδοση Εγκατάστασης'!$E$8:$E$19,$A$20,$I22,$B$7,'Απόδοση Εγκατάστασης'!$C$21,'Απόδοση Εγκατάστασης'!$J$2,'Απόδοση Εγκατάστασης'!$J$3)</f>
        <v>1393.2352819158143</v>
      </c>
      <c r="U22" s="209">
        <f t="shared" si="9"/>
        <v>1229.7059042092849</v>
      </c>
      <c r="V22" s="209">
        <f>PV_CF_FromCoincidenceChange('Απόδοση Εγκατάστασης'!$C$8:$C$19,'Απόδοση Εγκατάστασης'!$D$8:$D$19,'Απόδοση Εγκατάστασης'!$E$8:$E$19,$A$21,$I22,$B$7,'Απόδοση Εγκατάστασης'!$C$21,'Απόδοση Εγκατάστασης'!$J$2,'Απόδοση Εγκατάστασης'!$J$3)</f>
        <v>1419.0735080170753</v>
      </c>
      <c r="W22" s="209">
        <f t="shared" si="10"/>
        <v>1421.7945991462368</v>
      </c>
      <c r="X22" s="209">
        <f>PV_CF_FromCoincidenceChange('Απόδοση Εγκατάστασης'!$C$8:$C$19,'Απόδοση Εγκατάστασης'!$D$8:$D$19,'Απόδοση Εγκατάστασης'!$E$8:$E$19,$A$22,$I22,$B$7,'Απόδοση Εγκατάστασης'!$C$21,'Απόδοση Εγκατάστασης'!$J$2,'Απόδοση Εγκατάστασης'!$J$3)</f>
        <v>1444.9117341183362</v>
      </c>
      <c r="Y22" s="209">
        <f t="shared" si="11"/>
        <v>1613.883294083188</v>
      </c>
      <c r="Z22" s="209">
        <f>PV_CF_FromCoincidenceChange('Απόδοση Εγκατάστασης'!$C$8:$C$19,'Απόδοση Εγκατάστασης'!$D$8:$D$19,'Απόδοση Εγκατάστασης'!$E$8:$E$19,$A$23,$I22,$B$7,'Απόδοση Εγκατάστασης'!$C$21,'Απόδοση Εγκατάστασης'!$J$2,'Απόδοση Εγκατάστασης'!$J$3)</f>
        <v>1470.7499602195971</v>
      </c>
      <c r="AA22" s="209">
        <f t="shared" si="12"/>
        <v>1805.9719890201402</v>
      </c>
      <c r="AB22" s="209">
        <f>PV_CF_FromCoincidenceChange('Απόδοση Εγκατάστασης'!$C$8:$C$19,'Απόδοση Εγκατάστασης'!$D$8:$D$19,'Απόδοση Εγκατάστασης'!$E$8:$E$19,$A$24,$I22,$B$7,'Απόδοση Εγκατάστασης'!$C$21,'Απόδοση Εγκατάστασης'!$J$2,'Απόδοση Εγκατάστασης'!$J$3)</f>
        <v>1492.0177453831352</v>
      </c>
      <c r="AC22" s="209">
        <f t="shared" si="13"/>
        <v>1964.0827308432447</v>
      </c>
      <c r="AD22" s="209">
        <f>PV_CF_FromCoincidenceChange('Απόδοση Εγκατάστασης'!$C$8:$C$19,'Απόδοση Εγκατάστασης'!$D$8:$D$19,'Απόδοση Εγκατάστασης'!$E$8:$E$19,$A$25,$I22,$B$7,'Απόδοση Εγκατάστασης'!$C$21,'Απόδοση Εγκατάστασης'!$J$2,'Απόδοση Εγκατάστασης'!$J$3)</f>
        <v>1507.1916092963756</v>
      </c>
      <c r="AE22" s="209">
        <f t="shared" si="14"/>
        <v>2076.8895351812184</v>
      </c>
    </row>
    <row r="23" spans="1:31" ht="22.15" customHeight="1" x14ac:dyDescent="0.25">
      <c r="A23" s="210">
        <v>0.4</v>
      </c>
      <c r="B23" s="209">
        <f>AnnualSelfConsumptionFromCoincidenceChange('Απόδοση Εγκατάστασης'!$C$8:$C$19,'Απόδοση Εγκατάστασης'!$D$8:$D$19,'Απόδοση Εγκατάστασης'!$E$8:$E$19,$A23)/'Απόδοση Εγκατάστασης'!$D$21</f>
        <v>0.79146666666666665</v>
      </c>
      <c r="C23" s="251">
        <f>AA$40</f>
        <v>23855.501356096578</v>
      </c>
      <c r="D23" s="208">
        <f>DPP_FromNPV(AA$15:AA$40,$I$15:$I$40,Z$15:Z$40)</f>
        <v>5.7765432216672652</v>
      </c>
      <c r="E23" s="210">
        <f t="shared" si="0"/>
        <v>-1.0104401449941953</v>
      </c>
      <c r="F23" s="210">
        <f t="shared" si="1"/>
        <v>0.39999999999999991</v>
      </c>
      <c r="G23" s="210">
        <f t="shared" si="2"/>
        <v>-0.14887912499647604</v>
      </c>
      <c r="H23" s="252">
        <f t="shared" si="3"/>
        <v>-0.37219781249119016</v>
      </c>
      <c r="I23" s="222">
        <v>8</v>
      </c>
      <c r="J23" s="209">
        <f>PV_CF_FromCoincidenceChange('Απόδοση Εγκατάστασης'!$C$8:$C$19,'Απόδοση Εγκατάστασης'!$D$8:$D$19,'Απόδοση Εγκατάστασης'!$E$8:$E$19,$A$15,$I23,$B$7,'Απόδοση Εγκατάστασης'!$C$21,'Απόδοση Εγκατάστασης'!$J$2,'Απόδοση Εγκατάστασης'!$J$3)</f>
        <v>1239.258971970107</v>
      </c>
      <c r="K23" s="209">
        <f t="shared" si="4"/>
        <v>1508.5214014946307</v>
      </c>
      <c r="L23" s="209">
        <f>PV_CF_FromCoincidenceChange('Απόδοση Εγκατάστασης'!$C$8:$C$19,'Απόδοση Εγκατάστασης'!$D$8:$D$19,'Απόδοση Εγκατάστασης'!$E$8:$E$19,$A$16,$I23,$B$7,'Απόδοση Εγκατάστασης'!$C$21,'Απόδοση Εγκατάστασης'!$J$2,'Απόδοση Εγκατάστασης'!$J$3)</f>
        <v>1264.5905661870297</v>
      </c>
      <c r="M23" s="209">
        <f t="shared" si="5"/>
        <v>1725.9416906485067</v>
      </c>
      <c r="N23" s="209">
        <f>PV_CF_FromCoincidenceChange('Απόδοση Εγκατάστασης'!$C$8:$C$19,'Απόδοση Εγκατάστασης'!$D$8:$D$19,'Απόδοση Εγκατάστασης'!$E$8:$E$19,$A$17,$I23,$B$7,'Απόδοση Εγκατάστασης'!$C$21,'Απόδοση Εγκατάστασης'!$J$2,'Απόδοση Εγκατάστασης'!$J$3)</f>
        <v>1289.9221604039524</v>
      </c>
      <c r="O23" s="209">
        <f t="shared" si="6"/>
        <v>1943.3619798023815</v>
      </c>
      <c r="P23" s="209">
        <f>PV_CF_FromCoincidenceChange('Απόδοση Εγκατάστασης'!$C$8:$C$19,'Απόδοση Εγκατάστασης'!$D$8:$D$19,'Απόδοση Εγκατάστασης'!$E$8:$E$19,$A$18,$I23,$B$7,'Απόδοση Εγκατάστασης'!$C$21,'Απόδοση Εγκατάστασης'!$J$2,'Απόδοση Εγκατάστασης'!$J$3)</f>
        <v>1315.2537546208748</v>
      </c>
      <c r="Q23" s="209">
        <f t="shared" si="7"/>
        <v>2160.7822689562563</v>
      </c>
      <c r="R23" s="209">
        <f>PV_CF_FromCoincidenceChange('Απόδοση Εγκατάστασης'!$C$8:$C$19,'Απόδοση Εγκατάστασης'!$D$8:$D$19,'Απόδοση Εγκατάστασης'!$E$8:$E$19,$A$19,$I23,$B$7,'Απόδοση Εγκατάστασης'!$C$21,'Απόδοση Εγκατάστασης'!$J$2,'Απόδοση Εγκατάστασης'!$J$3)</f>
        <v>1340.5853488377973</v>
      </c>
      <c r="S23" s="209">
        <f t="shared" si="8"/>
        <v>2378.2025581101298</v>
      </c>
      <c r="T23" s="209">
        <f>PV_CF_FromCoincidenceChange('Απόδοση Εγκατάστασης'!$C$8:$C$19,'Απόδοση Εγκατάστασης'!$D$8:$D$19,'Απόδοση Εγκατάστασης'!$E$8:$E$19,$A$20,$I23,$B$7,'Απόδοση Εγκατάστασης'!$C$21,'Απόδοση Εγκατάστασης'!$J$2,'Απόδοση Εγκατάστασης'!$J$3)</f>
        <v>1365.9169430547197</v>
      </c>
      <c r="U23" s="209">
        <f t="shared" si="9"/>
        <v>2595.6228472640046</v>
      </c>
      <c r="V23" s="209">
        <f>PV_CF_FromCoincidenceChange('Απόδοση Εγκατάστασης'!$C$8:$C$19,'Απόδοση Εγκατάστασης'!$D$8:$D$19,'Απόδοση Εγκατάστασης'!$E$8:$E$19,$A$21,$I23,$B$7,'Απόδοση Εγκατάστασης'!$C$21,'Απόδοση Εγκατάστασης'!$J$2,'Απόδοση Εγκατάστασης'!$J$3)</f>
        <v>1391.2485372716424</v>
      </c>
      <c r="W23" s="209">
        <f t="shared" si="10"/>
        <v>2813.0431364178794</v>
      </c>
      <c r="X23" s="209">
        <f>PV_CF_FromCoincidenceChange('Απόδοση Εγκατάστασης'!$C$8:$C$19,'Απόδοση Εγκατάστασης'!$D$8:$D$19,'Απόδοση Εγκατάστασης'!$E$8:$E$19,$A$22,$I23,$B$7,'Απόδοση Εγκατάστασης'!$C$21,'Απόδοση Εγκατάστασης'!$J$2,'Απόδοση Εγκατάστασης'!$J$3)</f>
        <v>1416.5801314885648</v>
      </c>
      <c r="Y23" s="209">
        <f t="shared" si="11"/>
        <v>3030.4634255717529</v>
      </c>
      <c r="Z23" s="209">
        <f>PV_CF_FromCoincidenceChange('Απόδοση Εγκατάστασης'!$C$8:$C$19,'Απόδοση Εγκατάστασης'!$D$8:$D$19,'Απόδοση Εγκατάστασης'!$E$8:$E$19,$A$23,$I23,$B$7,'Απόδοση Εγκατάστασης'!$C$21,'Απόδοση Εγκατάστασης'!$J$2,'Απόδοση Εγκατάστασης'!$J$3)</f>
        <v>1441.9117257054872</v>
      </c>
      <c r="AA23" s="209">
        <f t="shared" si="12"/>
        <v>3247.8837147256272</v>
      </c>
      <c r="AB23" s="209">
        <f>PV_CF_FromCoincidenceChange('Απόδοση Εγκατάστασης'!$C$8:$C$19,'Απόδοση Εγκατάστασης'!$D$8:$D$19,'Απόδοση Εγκατάστασης'!$E$8:$E$19,$A$24,$I23,$B$7,'Απόδοση Εγκατάστασης'!$C$21,'Απόδοση Εγκατάστασης'!$J$2,'Απόδοση Εγκατάστασης'!$J$3)</f>
        <v>1462.7624954736618</v>
      </c>
      <c r="AC23" s="209">
        <f t="shared" si="13"/>
        <v>3426.8452263169065</v>
      </c>
      <c r="AD23" s="209">
        <f>PV_CF_FromCoincidenceChange('Απόδοση Εγκατάστασης'!$C$8:$C$19,'Απόδοση Εγκατάστασης'!$D$8:$D$19,'Απόδοση Εγκατάστασης'!$E$8:$E$19,$A$25,$I23,$B$7,'Απόδοση Εγκατάστασης'!$C$21,'Απόδοση Εγκατάστασης'!$J$2,'Απόδοση Εγκατάστασης'!$J$3)</f>
        <v>1477.6388326435053</v>
      </c>
      <c r="AE23" s="209">
        <f t="shared" si="14"/>
        <v>3554.5283678247238</v>
      </c>
    </row>
    <row r="24" spans="1:31" ht="22.15" customHeight="1" x14ac:dyDescent="0.25">
      <c r="A24" s="214">
        <v>0.45</v>
      </c>
      <c r="B24" s="209">
        <f>AnnualSelfConsumptionFromCoincidenceChange('Απόδοση Εγκατάστασης'!$C$8:$C$19,'Απόδοση Εγκατάστασης'!$D$8:$D$19,'Απόδοση Εγκατάστασης'!$E$8:$E$19,$A24)/'Απόδοση Εγκατάστασης'!$D$21</f>
        <v>0.81473333333333331</v>
      </c>
      <c r="C24" s="251">
        <f>AC$40</f>
        <v>24332.459397746283</v>
      </c>
      <c r="D24" s="208">
        <f>DPP_FromNPV(AC$15:AC$40,$I$15:$I$40,AB$15:AB$40)</f>
        <v>5.6898101174019402</v>
      </c>
      <c r="E24" s="210">
        <f t="shared" si="0"/>
        <v>-1.0971732492595203</v>
      </c>
      <c r="F24" s="210">
        <f t="shared" si="1"/>
        <v>0.44115566037735837</v>
      </c>
      <c r="G24" s="210">
        <f t="shared" si="2"/>
        <v>-0.16165845560326214</v>
      </c>
      <c r="H24" s="252">
        <f t="shared" si="3"/>
        <v>-0.36644311775345184</v>
      </c>
      <c r="I24" s="222">
        <v>9</v>
      </c>
      <c r="J24" s="209">
        <f>PV_CF_FromCoincidenceChange('Απόδοση Εγκατάστασης'!$C$8:$C$19,'Απόδοση Εγκατάστασης'!$D$8:$D$19,'Απόδοση Εγκατάστασης'!$E$8:$E$19,$A$15,$I24,$B$7,'Απόδοση Εγκατάστασης'!$C$21,'Απόδοση Εγκατάστασης'!$J$2,'Απόδοση Εγκατάστασης'!$J$3)</f>
        <v>1214.9597764412815</v>
      </c>
      <c r="K24" s="209">
        <f t="shared" si="4"/>
        <v>2723.4811779359125</v>
      </c>
      <c r="L24" s="209">
        <f>PV_CF_FromCoincidenceChange('Απόδοση Εγκατάστασης'!$C$8:$C$19,'Απόδοση Εγκατάστασης'!$D$8:$D$19,'Απόδοση Εγκατάστασης'!$E$8:$E$19,$A$16,$I24,$B$7,'Απόδοση Εγκατάστασης'!$C$21,'Απόδοση Εγκατάστασης'!$J$2,'Απόδοση Εγκατάστασης'!$J$3)</f>
        <v>1239.794672732382</v>
      </c>
      <c r="M24" s="209">
        <f t="shared" si="5"/>
        <v>2965.7363633808886</v>
      </c>
      <c r="N24" s="209">
        <f>PV_CF_FromCoincidenceChange('Απόδοση Εγκατάστασης'!$C$8:$C$19,'Απόδοση Εγκατάστασης'!$D$8:$D$19,'Απόδοση Εγκατάστασης'!$E$8:$E$19,$A$17,$I24,$B$7,'Απόδοση Εγκατάστασης'!$C$21,'Απόδοση Εγκατάστασης'!$J$2,'Απόδοση Εγκατάστασης'!$J$3)</f>
        <v>1264.6295690234826</v>
      </c>
      <c r="O24" s="209">
        <f t="shared" si="6"/>
        <v>3207.9915488258639</v>
      </c>
      <c r="P24" s="209">
        <f>PV_CF_FromCoincidenceChange('Απόδοση Εγκατάστασης'!$C$8:$C$19,'Απόδοση Εγκατάστασης'!$D$8:$D$19,'Απόδοση Εγκατάστασης'!$E$8:$E$19,$A$18,$I24,$B$7,'Απόδοση Εγκατάστασης'!$C$21,'Απόδοση Εγκατάστασης'!$J$2,'Απόδοση Εγκατάστασης'!$J$3)</f>
        <v>1289.4644653145831</v>
      </c>
      <c r="Q24" s="209">
        <f t="shared" si="7"/>
        <v>3450.2467342708396</v>
      </c>
      <c r="R24" s="209">
        <f>PV_CF_FromCoincidenceChange('Απόδοση Εγκατάστασης'!$C$8:$C$19,'Απόδοση Εγκατάστασης'!$D$8:$D$19,'Απόδοση Εγκατάστασης'!$E$8:$E$19,$A$19,$I24,$B$7,'Απόδοση Εγκατάστασης'!$C$21,'Απόδοση Εγκατάστασης'!$J$2,'Απόδοση Εγκατάστασης'!$J$3)</f>
        <v>1314.2993616056835</v>
      </c>
      <c r="S24" s="209">
        <f t="shared" si="8"/>
        <v>3692.5019197158135</v>
      </c>
      <c r="T24" s="209">
        <f>PV_CF_FromCoincidenceChange('Απόδοση Εγκατάστασης'!$C$8:$C$19,'Απόδοση Εγκατάστασης'!$D$8:$D$19,'Απόδοση Εγκατάστασης'!$E$8:$E$19,$A$20,$I24,$B$7,'Απόδοση Εγκατάστασης'!$C$21,'Απόδοση Εγκατάστασης'!$J$2,'Απόδοση Εγκατάστασης'!$J$3)</f>
        <v>1339.134257896784</v>
      </c>
      <c r="U24" s="209">
        <f t="shared" si="9"/>
        <v>3934.7571051607883</v>
      </c>
      <c r="V24" s="209">
        <f>PV_CF_FromCoincidenceChange('Απόδοση Εγκατάστασης'!$C$8:$C$19,'Απόδοση Εγκατάστασης'!$D$8:$D$19,'Απόδοση Εγκατάστασης'!$E$8:$E$19,$A$21,$I24,$B$7,'Απόδοση Εγκατάστασης'!$C$21,'Απόδοση Εγκατάστασης'!$J$2,'Απόδοση Εγκατάστασης'!$J$3)</f>
        <v>1363.9691541878847</v>
      </c>
      <c r="W24" s="209">
        <f t="shared" si="10"/>
        <v>4177.0122906057641</v>
      </c>
      <c r="X24" s="209">
        <f>PV_CF_FromCoincidenceChange('Απόδοση Εγκατάστασης'!$C$8:$C$19,'Απόδοση Εγκατάστασης'!$D$8:$D$19,'Απόδοση Εγκατάστασης'!$E$8:$E$19,$A$22,$I24,$B$7,'Απόδοση Εγκατάστασης'!$C$21,'Απόδοση Εγκατάστασης'!$J$2,'Απόδοση Εγκατάστασης'!$J$3)</f>
        <v>1388.8040504789849</v>
      </c>
      <c r="Y24" s="209">
        <f t="shared" si="11"/>
        <v>4419.267476050738</v>
      </c>
      <c r="Z24" s="209">
        <f>PV_CF_FromCoincidenceChange('Απόδοση Εγκατάστασης'!$C$8:$C$19,'Απόδοση Εγκατάστασης'!$D$8:$D$19,'Απόδοση Εγκατάστασης'!$E$8:$E$19,$A$23,$I24,$B$7,'Απόδοση Εγκατάστασης'!$C$21,'Απόδοση Εγκατάστασης'!$J$2,'Απόδοση Εγκατάστασης'!$J$3)</f>
        <v>1413.6389467700856</v>
      </c>
      <c r="AA24" s="209">
        <f t="shared" si="12"/>
        <v>4661.5226614957128</v>
      </c>
      <c r="AB24" s="209">
        <f>PV_CF_FromCoincidenceChange('Απόδοση Εγκατάστασης'!$C$8:$C$19,'Απόδοση Εγκατάστασης'!$D$8:$D$19,'Απόδοση Εγκατάστασης'!$E$8:$E$19,$A$24,$I24,$B$7,'Απόδοση Εγκατάστασης'!$C$21,'Απόδοση Εγκατάστασης'!$J$2,'Απόδοση Εγκατάστασης'!$J$3)</f>
        <v>1434.0808779153547</v>
      </c>
      <c r="AC24" s="209">
        <f t="shared" si="13"/>
        <v>4860.9261042322614</v>
      </c>
      <c r="AD24" s="209">
        <f>PV_CF_FromCoincidenceChange('Απόδοση Εγκατάστασης'!$C$8:$C$19,'Απόδοση Εγκατάστασης'!$D$8:$D$19,'Απόδοση Εγκατάστασης'!$E$8:$E$19,$A$25,$I24,$B$7,'Απόδοση Εγκατάστασης'!$C$21,'Απόδοση Εγκατάστασης'!$J$2,'Απόδοση Εγκατάστασης'!$J$3)</f>
        <v>1448.6655221995152</v>
      </c>
      <c r="AE24" s="209">
        <f t="shared" si="14"/>
        <v>5003.1938900242385</v>
      </c>
    </row>
    <row r="25" spans="1:31" ht="22.15" customHeight="1" x14ac:dyDescent="0.25">
      <c r="A25" s="210">
        <v>0.5</v>
      </c>
      <c r="B25" s="209">
        <f>AnnualSelfConsumptionFromCoincidenceChange('Απόδοση Εγκατάστασης'!$C$8:$C$19,'Απόδοση Εγκατάστασης'!$D$8:$D$19,'Απόδοση Εγκατάστασης'!$E$8:$E$19,$A25)/'Απόδοση Εγκατάστασης'!$D$21</f>
        <v>0.83133333333333337</v>
      </c>
      <c r="C25" s="251">
        <f>AE$40</f>
        <v>24672.753244080886</v>
      </c>
      <c r="D25" s="208">
        <f>DPP_FromNPV(AE$15:AE$40,$I$15:$I$40,AD$15:AD$40)</f>
        <v>5.6294251010465626</v>
      </c>
      <c r="E25" s="210">
        <f t="shared" si="0"/>
        <v>-1.1575582656148979</v>
      </c>
      <c r="F25" s="210">
        <f t="shared" si="1"/>
        <v>0.47051886792452829</v>
      </c>
      <c r="G25" s="210">
        <f t="shared" si="2"/>
        <v>-0.17055563614624042</v>
      </c>
      <c r="H25" s="252">
        <f t="shared" si="3"/>
        <v>-0.36248415902759867</v>
      </c>
      <c r="I25" s="222">
        <v>10</v>
      </c>
      <c r="J25" s="209">
        <f>PV_CF_FromCoincidenceChange('Απόδοση Εγκατάστασης'!$C$8:$C$19,'Απόδοση Εγκατάστασης'!$D$8:$D$19,'Απόδοση Εγκατάστασης'!$E$8:$E$19,$A$15,$I25,$B$7,'Απόδοση Εγκατάστασης'!$C$21,'Απόδοση Εγκατάστασης'!$J$2,'Απόδοση Εγκατάστασης'!$J$3)</f>
        <v>1191.1370357267465</v>
      </c>
      <c r="K25" s="209">
        <f t="shared" si="4"/>
        <v>3914.6182136626589</v>
      </c>
      <c r="L25" s="209">
        <f>PV_CF_FromCoincidenceChange('Απόδοση Εγκατάστασης'!$C$8:$C$19,'Απόδοση Εγκατάστασης'!$D$8:$D$19,'Απόδοση Εγκατάστασης'!$E$8:$E$19,$A$16,$I25,$B$7,'Απόδοση Εγκατάστασης'!$C$21,'Απόδοση Εγκατάστασης'!$J$2,'Απόδοση Εγκατάστασης'!$J$3)</f>
        <v>1215.4849732670411</v>
      </c>
      <c r="M25" s="209">
        <f t="shared" si="5"/>
        <v>4181.22133664793</v>
      </c>
      <c r="N25" s="209">
        <f>PV_CF_FromCoincidenceChange('Απόδοση Εγκατάστασης'!$C$8:$C$19,'Απόδοση Εγκατάστασης'!$D$8:$D$19,'Απόδοση Εγκατάστασης'!$E$8:$E$19,$A$17,$I25,$B$7,'Απόδοση Εγκατάστασης'!$C$21,'Απόδοση Εγκατάστασης'!$J$2,'Απόδοση Εγκατάστασης'!$J$3)</f>
        <v>1239.8329108073358</v>
      </c>
      <c r="O25" s="209">
        <f t="shared" si="6"/>
        <v>4447.8244596331997</v>
      </c>
      <c r="P25" s="209">
        <f>PV_CF_FromCoincidenceChange('Απόδοση Εγκατάστασης'!$C$8:$C$19,'Απόδοση Εγκατάστασης'!$D$8:$D$19,'Απόδοση Εγκατάστασης'!$E$8:$E$19,$A$18,$I25,$B$7,'Απόδοση Εγκατάστασης'!$C$21,'Απόδοση Εγκατάστασης'!$J$2,'Απόδοση Εγκατάστασης'!$J$3)</f>
        <v>1264.1808483476304</v>
      </c>
      <c r="Q25" s="209">
        <f t="shared" si="7"/>
        <v>4714.4275826184703</v>
      </c>
      <c r="R25" s="209">
        <f>PV_CF_FromCoincidenceChange('Απόδοση Εγκατάστασης'!$C$8:$C$19,'Απόδοση Εγκατάστασης'!$D$8:$D$19,'Απόδοση Εγκατάστασης'!$E$8:$E$19,$A$19,$I25,$B$7,'Απόδοση Εγκατάστασης'!$C$21,'Απόδοση Εγκατάστασης'!$J$2,'Απόδοση Εγκατάστασης'!$J$3)</f>
        <v>1288.5287858879249</v>
      </c>
      <c r="S25" s="209">
        <f t="shared" si="8"/>
        <v>4981.0307056037382</v>
      </c>
      <c r="T25" s="209">
        <f>PV_CF_FromCoincidenceChange('Απόδοση Εγκατάστασης'!$C$8:$C$19,'Απόδοση Εγκατάστασης'!$D$8:$D$19,'Απόδοση Εγκατάστασης'!$E$8:$E$19,$A$20,$I25,$B$7,'Απόδοση Εγκατάστασης'!$C$21,'Απόδοση Εγκατάστασης'!$J$2,'Απόδοση Εγκατάστασης'!$J$3)</f>
        <v>1312.8767234282197</v>
      </c>
      <c r="U25" s="209">
        <f t="shared" si="9"/>
        <v>5247.6338285890079</v>
      </c>
      <c r="V25" s="209">
        <f>PV_CF_FromCoincidenceChange('Απόδοση Εγκατάστασης'!$C$8:$C$19,'Απόδοση Εγκατάστασης'!$D$8:$D$19,'Απόδοση Εγκατάστασης'!$E$8:$E$19,$A$21,$I25,$B$7,'Απόδοση Εγκατάστασης'!$C$21,'Απόδοση Εγκατάστασης'!$J$2,'Απόδοση Εγκατάστασης'!$J$3)</f>
        <v>1337.2246609685144</v>
      </c>
      <c r="W25" s="209">
        <f t="shared" si="10"/>
        <v>5514.2369515742785</v>
      </c>
      <c r="X25" s="209">
        <f>PV_CF_FromCoincidenceChange('Απόδοση Εγκατάστασης'!$C$8:$C$19,'Απόδοση Εγκατάστασης'!$D$8:$D$19,'Απόδοση Εγκατάστασης'!$E$8:$E$19,$A$22,$I25,$B$7,'Απόδοση Εγκατάστασης'!$C$21,'Απόδοση Εγκατάστασης'!$J$2,'Απόδοση Εγκατάστασης'!$J$3)</f>
        <v>1361.5725985088088</v>
      </c>
      <c r="Y25" s="209">
        <f t="shared" si="11"/>
        <v>5780.8400745595463</v>
      </c>
      <c r="Z25" s="209">
        <f>PV_CF_FromCoincidenceChange('Απόδοση Εγκατάστασης'!$C$8:$C$19,'Απόδοση Εγκατάστασης'!$D$8:$D$19,'Απόδοση Εγκατάστασης'!$E$8:$E$19,$A$23,$I25,$B$7,'Απόδοση Εγκατάστασης'!$C$21,'Απόδοση Εγκατάστασης'!$J$2,'Απόδοση Εγκατάστασης'!$J$3)</f>
        <v>1385.9205360491035</v>
      </c>
      <c r="AA25" s="209">
        <f t="shared" si="12"/>
        <v>6047.443197544816</v>
      </c>
      <c r="AB25" s="209">
        <f>PV_CF_FromCoincidenceChange('Απόδοση Εγκατάστασης'!$C$8:$C$19,'Απόδοση Εγκατάστασης'!$D$8:$D$19,'Απόδοση Εγκατάστασης'!$E$8:$E$19,$A$24,$I25,$B$7,'Απόδοση Εγκατάστασης'!$C$21,'Απόδοση Εγκατάστασης'!$J$2,'Απόδοση Εγκατάστασης'!$J$3)</f>
        <v>1405.9616450150536</v>
      </c>
      <c r="AC25" s="209">
        <f t="shared" si="13"/>
        <v>6266.8877492473148</v>
      </c>
      <c r="AD25" s="209">
        <f>PV_CF_FromCoincidenceChange('Απόδοση Εγκατάστασης'!$C$8:$C$19,'Απόδοση Εγκατάστασης'!$D$8:$D$19,'Απόδοση Εγκατάστασης'!$E$8:$E$19,$A$25,$I25,$B$7,'Απόδοση Εγκατάστασης'!$C$21,'Απόδοση Εγκατάστασης'!$J$2,'Απόδοση Εγκατάστασης'!$J$3)</f>
        <v>1420.2603158818774</v>
      </c>
      <c r="AE25" s="209">
        <f t="shared" si="14"/>
        <v>6423.4542059061159</v>
      </c>
    </row>
    <row r="26" spans="1:31" ht="22.15" customHeight="1" x14ac:dyDescent="0.25">
      <c r="A26" s="205"/>
      <c r="B26" s="205"/>
      <c r="C26" s="205"/>
      <c r="D26" s="205"/>
      <c r="E26" s="205"/>
      <c r="F26" s="205"/>
      <c r="G26" s="205"/>
      <c r="H26" s="205"/>
      <c r="I26" s="222">
        <v>11</v>
      </c>
      <c r="J26" s="209">
        <f>PV_CF_FromCoincidenceChange('Απόδοση Εγκατάστασης'!$C$8:$C$19,'Απόδοση Εγκατάστασης'!$D$8:$D$19,'Απόδοση Εγκατάστασης'!$E$8:$E$19,$A$15,$I26,$B$7,'Απόδοση Εγκατάστασης'!$C$21,'Απόδοση Εγκατάστασης'!$J$2,'Απόδοση Εγκατάστασης'!$J$3)</f>
        <v>1167.7814075752417</v>
      </c>
      <c r="K26" s="209">
        <f t="shared" si="4"/>
        <v>5082.3996212379006</v>
      </c>
      <c r="L26" s="209">
        <f>PV_CF_FromCoincidenceChange('Απόδοση Εγκατάστασης'!$C$8:$C$19,'Απόδοση Εγκατάστασης'!$D$8:$D$19,'Απόδοση Εγκατάστασης'!$E$8:$E$19,$A$16,$I26,$B$7,'Απόδοση Εγκατάστασης'!$C$21,'Απόδοση Εγκατάστασης'!$J$2,'Απόδοση Εγκατάστασης'!$J$3)</f>
        <v>1191.6519345755305</v>
      </c>
      <c r="M26" s="209">
        <f t="shared" si="5"/>
        <v>5372.8732712234605</v>
      </c>
      <c r="N26" s="209">
        <f>PV_CF_FromCoincidenceChange('Απόδοση Εγκατάστασης'!$C$8:$C$19,'Απόδοση Εγκατάστασης'!$D$8:$D$19,'Απόδοση Εγκατάστασης'!$E$8:$E$19,$A$17,$I26,$B$7,'Απόδοση Εγκατάστασης'!$C$21,'Απόδοση Εγκατάστασης'!$J$2,'Απόδοση Εγκατάστασης'!$J$3)</f>
        <v>1215.5224615758195</v>
      </c>
      <c r="O26" s="209">
        <f t="shared" si="6"/>
        <v>5663.3469212090195</v>
      </c>
      <c r="P26" s="209">
        <f>PV_CF_FromCoincidenceChange('Απόδοση Εγκατάστασης'!$C$8:$C$19,'Απόδοση Εγκατάστασης'!$D$8:$D$19,'Απόδοση Εγκατάστασης'!$E$8:$E$19,$A$18,$I26,$B$7,'Απόδοση Εγκατάστασης'!$C$21,'Απόδοση Εγκατάστασης'!$J$2,'Απόδοση Εγκατάστασης'!$J$3)</f>
        <v>1239.3929885761083</v>
      </c>
      <c r="Q26" s="209">
        <f t="shared" si="7"/>
        <v>5953.8205711945784</v>
      </c>
      <c r="R26" s="209">
        <f>PV_CF_FromCoincidenceChange('Απόδοση Εγκατάστασης'!$C$8:$C$19,'Απόδοση Εγκατάστασης'!$D$8:$D$19,'Απόδοση Εγκατάστασης'!$E$8:$E$19,$A$19,$I26,$B$7,'Απόδοση Εγκατάστασης'!$C$21,'Απόδοση Εγκατάστασης'!$J$2,'Απόδοση Εγκατάστασης'!$J$3)</f>
        <v>1263.2635155763971</v>
      </c>
      <c r="S26" s="209">
        <f t="shared" si="8"/>
        <v>6244.2942211801355</v>
      </c>
      <c r="T26" s="209">
        <f>PV_CF_FromCoincidenceChange('Απόδοση Εγκατάστασης'!$C$8:$C$19,'Απόδοση Εγκατάστασης'!$D$8:$D$19,'Απόδοση Εγκατάστασης'!$E$8:$E$19,$A$20,$I26,$B$7,'Απόδοση Εγκατάστασης'!$C$21,'Απόδοση Εγκατάστασης'!$J$2,'Απόδοση Εγκατάστασης'!$J$3)</f>
        <v>1287.1340425766859</v>
      </c>
      <c r="U26" s="209">
        <f t="shared" si="9"/>
        <v>6534.7678711656936</v>
      </c>
      <c r="V26" s="209">
        <f>PV_CF_FromCoincidenceChange('Απόδοση Εγκατάστασης'!$C$8:$C$19,'Απόδοση Εγκατάστασης'!$D$8:$D$19,'Απόδοση Εγκατάστασης'!$E$8:$E$19,$A$21,$I26,$B$7,'Απόδοση Εγκατάστασης'!$C$21,'Απόδοση Εγκατάστασης'!$J$2,'Απόδοση Εγκατάστασης'!$J$3)</f>
        <v>1311.0045695769747</v>
      </c>
      <c r="W26" s="209">
        <f t="shared" si="10"/>
        <v>6825.2415211512534</v>
      </c>
      <c r="X26" s="209">
        <f>PV_CF_FromCoincidenceChange('Απόδοση Εγκατάστασης'!$C$8:$C$19,'Απόδοση Εγκατάστασης'!$D$8:$D$19,'Απόδοση Εγκατάστασης'!$E$8:$E$19,$A$22,$I26,$B$7,'Απόδοση Εγκατάστασης'!$C$21,'Απόδοση Εγκατάστασης'!$J$2,'Απόδοση Εγκατάστασης'!$J$3)</f>
        <v>1334.8750965772635</v>
      </c>
      <c r="Y26" s="209">
        <f t="shared" si="11"/>
        <v>7115.7151711368097</v>
      </c>
      <c r="Z26" s="209">
        <f>PV_CF_FromCoincidenceChange('Απόδοση Εγκατάστασης'!$C$8:$C$19,'Απόδοση Εγκατάστασης'!$D$8:$D$19,'Απόδοση Εγκατάστασης'!$E$8:$E$19,$A$23,$I26,$B$7,'Απόδοση Εγκατάστασης'!$C$21,'Απόδοση Εγκατάστασης'!$J$2,'Απόδοση Εγκατάστασης'!$J$3)</f>
        <v>1358.7456235775524</v>
      </c>
      <c r="AA26" s="209">
        <f t="shared" si="12"/>
        <v>7406.1888211223686</v>
      </c>
      <c r="AB26" s="209">
        <f>PV_CF_FromCoincidenceChange('Απόδοση Εγκατάστασης'!$C$8:$C$19,'Απόδοση Εγκατάστασης'!$D$8:$D$19,'Απόδοση Εγκατάστασης'!$E$8:$E$19,$A$24,$I26,$B$7,'Απόδοση Εγκατάστασης'!$C$21,'Απόδοση Εγκατάστασης'!$J$2,'Απόδοση Εγκατάστασης'!$J$3)</f>
        <v>1378.3937696226014</v>
      </c>
      <c r="AC26" s="209">
        <f t="shared" si="13"/>
        <v>7645.281518869916</v>
      </c>
      <c r="AD26" s="209">
        <f>PV_CF_FromCoincidenceChange('Απόδοση Εγκατάστασης'!$C$8:$C$19,'Απόδοση Εγκατάστασης'!$D$8:$D$19,'Απόδοση Εγκατάστασης'!$E$8:$E$19,$A$25,$I26,$B$7,'Απόδοση Εγκατάστασης'!$C$21,'Απόδοση Εγκατάστασης'!$J$2,'Απόδοση Εγκατάστασης'!$J$3)</f>
        <v>1392.4120743939975</v>
      </c>
      <c r="AE26" s="209">
        <f t="shared" si="14"/>
        <v>7815.8662803001134</v>
      </c>
    </row>
    <row r="27" spans="1:31" ht="22.15" customHeight="1" x14ac:dyDescent="0.25">
      <c r="A27" s="213"/>
      <c r="B27" s="205"/>
      <c r="C27" s="205"/>
      <c r="D27" s="205"/>
      <c r="E27" s="205"/>
      <c r="F27" s="205"/>
      <c r="G27" s="205"/>
      <c r="H27" s="205"/>
      <c r="I27" s="222">
        <v>12</v>
      </c>
      <c r="J27" s="209">
        <f>PV_CF_FromCoincidenceChange('Απόδοση Εγκατάστασης'!$C$8:$C$19,'Απόδοση Εγκατάστασης'!$D$8:$D$19,'Απόδοση Εγκατάστασης'!$E$8:$E$19,$A$15,$I27,$B$7,'Απόδοση Εγκατάστασης'!$C$21,'Απόδοση Εγκατάστασης'!$J$2,'Απόδοση Εγκατάστασης'!$J$3)</f>
        <v>1144.8837329169037</v>
      </c>
      <c r="K27" s="209">
        <f t="shared" si="4"/>
        <v>6227.2833541548043</v>
      </c>
      <c r="L27" s="209">
        <f>PV_CF_FromCoincidenceChange('Απόδοση Εγκατάστασης'!$C$8:$C$19,'Απόδοση Εγκατάστασης'!$D$8:$D$19,'Απόδοση Εγκατάστασης'!$E$8:$E$19,$A$16,$I27,$B$7,'Απόδοση Εγκατάστασης'!$C$21,'Απόδοση Εγκατάστασης'!$J$2,'Απόδοση Εγκατάστασης'!$J$3)</f>
        <v>1168.2862103681673</v>
      </c>
      <c r="M27" s="209">
        <f t="shared" si="5"/>
        <v>6541.1594815916278</v>
      </c>
      <c r="N27" s="209">
        <f>PV_CF_FromCoincidenceChange('Απόδοση Εγκατάστασης'!$C$8:$C$19,'Απόδοση Εγκατάστασης'!$D$8:$D$19,'Απόδοση Εγκατάστασης'!$E$8:$E$19,$A$17,$I27,$B$7,'Απόδοση Εγκατάστασης'!$C$21,'Απόδοση Εγκατάστασης'!$J$2,'Απόδοση Εγκατάστασης'!$J$3)</f>
        <v>1191.6886878194309</v>
      </c>
      <c r="O27" s="209">
        <f t="shared" si="6"/>
        <v>6855.0356090284504</v>
      </c>
      <c r="P27" s="209">
        <f>PV_CF_FromCoincidenceChange('Απόδοση Εγκατάστασης'!$C$8:$C$19,'Απόδοση Εγκατάστασης'!$D$8:$D$19,'Απόδοση Εγκατάστασης'!$E$8:$E$19,$A$18,$I27,$B$7,'Απόδοση Εγκατάστασης'!$C$21,'Απόδοση Εγκατάστασης'!$J$2,'Απόδοση Εγκατάστασης'!$J$3)</f>
        <v>1215.0911652706945</v>
      </c>
      <c r="Q27" s="209">
        <f t="shared" si="7"/>
        <v>7168.911736465273</v>
      </c>
      <c r="R27" s="209">
        <f>PV_CF_FromCoincidenceChange('Απόδοση Εγκατάστασης'!$C$8:$C$19,'Απόδοση Εγκατάστασης'!$D$8:$D$19,'Απόδοση Εγκατάστασης'!$E$8:$E$19,$A$19,$I27,$B$7,'Απόδοση Εγκατάστασης'!$C$21,'Απόδοση Εγκατάστασης'!$J$2,'Απόδοση Εγκατάστασης'!$J$3)</f>
        <v>1238.4936427219579</v>
      </c>
      <c r="S27" s="209">
        <f t="shared" si="8"/>
        <v>7482.7878639020937</v>
      </c>
      <c r="T27" s="209">
        <f>PV_CF_FromCoincidenceChange('Απόδοση Εγκατάστασης'!$C$8:$C$19,'Απόδοση Εγκατάστασης'!$D$8:$D$19,'Απόδοση Εγκατάστασης'!$E$8:$E$19,$A$20,$I27,$B$7,'Απόδοση Εγκατάστασης'!$C$21,'Απόδοση Εγκατάστασης'!$J$2,'Απόδοση Εγκατάστασης'!$J$3)</f>
        <v>1261.8961201732216</v>
      </c>
      <c r="U27" s="209">
        <f t="shared" si="9"/>
        <v>7796.6639913389154</v>
      </c>
      <c r="V27" s="209">
        <f>PV_CF_FromCoincidenceChange('Απόδοση Εγκατάστασης'!$C$8:$C$19,'Απόδοση Εγκατάστασης'!$D$8:$D$19,'Απόδοση Εγκατάστασης'!$E$8:$E$19,$A$21,$I27,$B$7,'Απόδοση Εγκατάστασης'!$C$21,'Απόδοση Εγκατάστασης'!$J$2,'Απόδοση Εγκατάστασης'!$J$3)</f>
        <v>1285.2985976244852</v>
      </c>
      <c r="W27" s="209">
        <f t="shared" si="10"/>
        <v>8110.5401187757388</v>
      </c>
      <c r="X27" s="209">
        <f>PV_CF_FromCoincidenceChange('Απόδοση Εγκατάστασης'!$C$8:$C$19,'Απόδοση Εγκατάστασης'!$D$8:$D$19,'Απόδοση Εγκατάστασης'!$E$8:$E$19,$A$22,$I27,$B$7,'Απόδοση Εγκατάστασης'!$C$21,'Απόδοση Εγκατάστασης'!$J$2,'Απόδοση Εγκατάστασης'!$J$3)</f>
        <v>1308.7010750757486</v>
      </c>
      <c r="Y27" s="209">
        <f t="shared" si="11"/>
        <v>8424.4162462125587</v>
      </c>
      <c r="Z27" s="209">
        <f>PV_CF_FromCoincidenceChange('Απόδοση Εγκατάστασης'!$C$8:$C$19,'Απόδοση Εγκατάστασης'!$D$8:$D$19,'Απόδοση Εγκατάστασης'!$E$8:$E$19,$A$23,$I27,$B$7,'Απόδοση Εγκατάστασης'!$C$21,'Απόδοση Εγκατάστασης'!$J$2,'Απόδοση Εγκατάστασης'!$J$3)</f>
        <v>1332.1035525270122</v>
      </c>
      <c r="AA27" s="209">
        <f t="shared" si="12"/>
        <v>8738.2923736493813</v>
      </c>
      <c r="AB27" s="209">
        <f>PV_CF_FromCoincidenceChange('Απόδοση Εγκατάστασης'!$C$8:$C$19,'Απόδοση Εγκατάστασης'!$D$8:$D$19,'Απόδοση Εγκατάστασης'!$E$8:$E$19,$A$24,$I27,$B$7,'Απόδοση Εγκατάστασης'!$C$21,'Απόδοση Εγκατάστασης'!$J$2,'Απόδοση Εγκατάστασης'!$J$3)</f>
        <v>1351.3664408064722</v>
      </c>
      <c r="AC27" s="209">
        <f t="shared" si="13"/>
        <v>8996.6479596763875</v>
      </c>
      <c r="AD27" s="209">
        <f>PV_CF_FromCoincidenceChange('Απόδοση Εγκατάστασης'!$C$8:$C$19,'Απόδοση Εγκατάστασης'!$D$8:$D$19,'Απόδοση Εγκατάστασης'!$E$8:$E$19,$A$25,$I27,$B$7,'Απόδοση Εγκατάστασης'!$C$21,'Απόδοση Εγκατάστασης'!$J$2,'Απόδοση Εγκατάστασης'!$J$3)</f>
        <v>1365.1098768568604</v>
      </c>
      <c r="AE27" s="209">
        <f t="shared" si="14"/>
        <v>9180.9761571569743</v>
      </c>
    </row>
    <row r="28" spans="1:31" ht="22.15" customHeight="1" x14ac:dyDescent="0.25">
      <c r="A28" s="205"/>
      <c r="B28" s="205"/>
      <c r="C28" s="205"/>
      <c r="D28" s="205"/>
      <c r="E28" s="205"/>
      <c r="F28" s="205"/>
      <c r="G28" s="205"/>
      <c r="H28" s="205"/>
      <c r="I28" s="222">
        <v>13</v>
      </c>
      <c r="J28" s="209">
        <f>PV_CF_FromCoincidenceChange('Απόδοση Εγκατάστασης'!$C$8:$C$19,'Απόδοση Εγκατάστασης'!$D$8:$D$19,'Απόδοση Εγκατάστασης'!$E$8:$E$19,$A$15,$I28,$B$7,'Απόδοση Εγκατάστασης'!$C$21,'Απόδοση Εγκατάστασης'!$J$2,'Απόδοση Εγκατάστασης'!$J$3)</f>
        <v>1122.435032271474</v>
      </c>
      <c r="K28" s="209">
        <f t="shared" si="4"/>
        <v>7349.7183864262788</v>
      </c>
      <c r="L28" s="209">
        <f>PV_CF_FromCoincidenceChange('Απόδοση Εγκατάστασης'!$C$8:$C$19,'Απόδοση Εγκατάστασης'!$D$8:$D$19,'Απόδοση Εγκατάστασης'!$E$8:$E$19,$A$16,$I28,$B$7,'Απόδοση Εγκατάστασης'!$C$21,'Απόδοση Εγκατάστασης'!$J$2,'Απόδοση Εγκατάστασης'!$J$3)</f>
        <v>1145.37863761585</v>
      </c>
      <c r="M28" s="209">
        <f t="shared" si="5"/>
        <v>7686.5381192074783</v>
      </c>
      <c r="N28" s="209">
        <f>PV_CF_FromCoincidenceChange('Απόδοση Εγκατάστασης'!$C$8:$C$19,'Απόδοση Εγκατάστασης'!$D$8:$D$19,'Απόδοση Εγκατάστασης'!$E$8:$E$19,$A$17,$I28,$B$7,'Απόδοση Εγκατάστασης'!$C$21,'Απόδοση Εγκατάστασης'!$J$2,'Απόδοση Εγκατάστασης'!$J$3)</f>
        <v>1168.3222429602263</v>
      </c>
      <c r="O28" s="209">
        <f t="shared" si="6"/>
        <v>8023.3578519886769</v>
      </c>
      <c r="P28" s="209">
        <f>PV_CF_FromCoincidenceChange('Απόδοση Εγκατάστασης'!$C$8:$C$19,'Απόδοση Εγκατάστασης'!$D$8:$D$19,'Απόδοση Εγκατάστασης'!$E$8:$E$19,$A$18,$I28,$B$7,'Απόδοση Εγκατάστασης'!$C$21,'Απόδοση Εγκατάστασης'!$J$2,'Απόδοση Εγκατάστασης'!$J$3)</f>
        <v>1191.2658483046023</v>
      </c>
      <c r="Q28" s="209">
        <f t="shared" si="7"/>
        <v>8360.1775847698755</v>
      </c>
      <c r="R28" s="209">
        <f>PV_CF_FromCoincidenceChange('Απόδοση Εγκατάστασης'!$C$8:$C$19,'Απόδοση Εγκατάστασης'!$D$8:$D$19,'Απόδοση Εγκατάστασης'!$E$8:$E$19,$A$19,$I28,$B$7,'Απόδοση Εγκατάστασης'!$C$21,'Απόδοση Εγκατάστασης'!$J$2,'Απόδοση Εγκατάστασης'!$J$3)</f>
        <v>1214.2094536489783</v>
      </c>
      <c r="S28" s="209">
        <f t="shared" si="8"/>
        <v>8696.9973175510713</v>
      </c>
      <c r="T28" s="209">
        <f>PV_CF_FromCoincidenceChange('Απόδοση Εγκατάστασης'!$C$8:$C$19,'Απόδοση Εγκατάστασης'!$D$8:$D$19,'Απόδοση Εγκατάστασης'!$E$8:$E$19,$A$20,$I28,$B$7,'Απόδοση Εγκατάστασης'!$C$21,'Απόδοση Εγκατάστασης'!$J$2,'Απόδοση Εγκατάστασης'!$J$3)</f>
        <v>1237.1530589933543</v>
      </c>
      <c r="U28" s="209">
        <f t="shared" si="9"/>
        <v>9033.817050332269</v>
      </c>
      <c r="V28" s="209">
        <f>PV_CF_FromCoincidenceChange('Απόδοση Εγκατάστασης'!$C$8:$C$19,'Απόδοση Εγκατάστασης'!$D$8:$D$19,'Απόδοση Εγκατάστασης'!$E$8:$E$19,$A$21,$I28,$B$7,'Απόδοση Εγκατάστασης'!$C$21,'Απόδοση Εγκατάστασης'!$J$2,'Απόδοση Εγκατάστασης'!$J$3)</f>
        <v>1260.0966643377303</v>
      </c>
      <c r="W28" s="209">
        <f t="shared" si="10"/>
        <v>9370.6367831134685</v>
      </c>
      <c r="X28" s="209">
        <f>PV_CF_FromCoincidenceChange('Απόδοση Εγκατάστασης'!$C$8:$C$19,'Απόδοση Εγκατάστασης'!$D$8:$D$19,'Απόδοση Εγκατάστασης'!$E$8:$E$19,$A$22,$I28,$B$7,'Απόδοση Εγκατάστασης'!$C$21,'Απόδοση Εγκατάστασης'!$J$2,'Απόδοση Εγκατάστασης'!$J$3)</f>
        <v>1283.0402696821063</v>
      </c>
      <c r="Y28" s="209">
        <f t="shared" si="11"/>
        <v>9707.4565158946643</v>
      </c>
      <c r="Z28" s="209">
        <f>PV_CF_FromCoincidenceChange('Απόδοση Εγκατάστασης'!$C$8:$C$19,'Απόδοση Εγκατάστασης'!$D$8:$D$19,'Απόδοση Εγκατάστασης'!$E$8:$E$19,$A$23,$I28,$B$7,'Απόδοση Εγκατάστασης'!$C$21,'Απόδοση Εγκατάστασης'!$J$2,'Απόδοση Εγκατάστασης'!$J$3)</f>
        <v>1305.9838750264823</v>
      </c>
      <c r="AA28" s="209">
        <f t="shared" si="12"/>
        <v>10044.276248675864</v>
      </c>
      <c r="AB28" s="209">
        <f>PV_CF_FromCoincidenceChange('Απόδοση Εγκατάστασης'!$C$8:$C$19,'Απόδοση Εγκατάστασης'!$D$8:$D$19,'Απόδοση Εγκατάστασης'!$E$8:$E$19,$A$24,$I28,$B$7,'Απόδοση Εγκατάστασης'!$C$21,'Απόδοση Εγκατάστασης'!$J$2,'Απόδοση Εγκατάστασης'!$J$3)</f>
        <v>1324.8690596141882</v>
      </c>
      <c r="AC28" s="209">
        <f t="shared" si="13"/>
        <v>10321.517019290575</v>
      </c>
      <c r="AD28" s="209">
        <f>PV_CF_FromCoincidenceChange('Απόδοση Εγκατάστασης'!$C$8:$C$19,'Απόδοση Εγκατάστασης'!$D$8:$D$19,'Απόδοση Εγκατάστασης'!$E$8:$E$19,$A$25,$I28,$B$7,'Απόδοση Εγκατάστασης'!$C$21,'Απόδοση Εγκατάστασης'!$J$2,'Απόδοση Εγκατάστασης'!$J$3)</f>
        <v>1338.3430165263335</v>
      </c>
      <c r="AE28" s="209">
        <f t="shared" si="14"/>
        <v>10519.319173683307</v>
      </c>
    </row>
    <row r="29" spans="1:31" ht="22.15" customHeight="1" x14ac:dyDescent="0.25">
      <c r="A29" s="205"/>
      <c r="B29" s="205"/>
      <c r="C29" s="205"/>
      <c r="D29" s="205"/>
      <c r="E29" s="205"/>
      <c r="F29" s="205"/>
      <c r="G29" s="205"/>
      <c r="H29" s="205"/>
      <c r="I29" s="222">
        <v>14</v>
      </c>
      <c r="J29" s="209">
        <f>PV_CF_FromCoincidenceChange('Απόδοση Εγκατάστασης'!$C$8:$C$19,'Απόδοση Εγκατάστασης'!$D$8:$D$19,'Απόδοση Εγκατάστασης'!$E$8:$E$19,$A$15,$I29,$B$7,'Απόδοση Εγκατάστασης'!$C$21,'Απόδοση Εγκατάστασης'!$J$2,'Απόδοση Εγκατάστασης'!$J$3)</f>
        <v>1100.4265022269353</v>
      </c>
      <c r="K29" s="209">
        <f t="shared" si="4"/>
        <v>8450.1448886532144</v>
      </c>
      <c r="L29" s="209">
        <f>PV_CF_FromCoincidenceChange('Απόδοση Εγκατάστασης'!$C$8:$C$19,'Απόδοση Εγκατάστασης'!$D$8:$D$19,'Απόδοση Εγκατάστασης'!$E$8:$E$19,$A$16,$I29,$B$7,'Απόδοση Εγκατάστασης'!$C$21,'Απόδοση Εγκατάστασης'!$J$2,'Απόδοση Εγκατάστασης'!$J$3)</f>
        <v>1122.9202329567158</v>
      </c>
      <c r="M29" s="209">
        <f t="shared" si="5"/>
        <v>8809.4583521641944</v>
      </c>
      <c r="N29" s="209">
        <f>PV_CF_FromCoincidenceChange('Απόδοση Εγκατάστασης'!$C$8:$C$19,'Απόδοση Εγκατάστασης'!$D$8:$D$19,'Απόδοση Εγκατάστασης'!$E$8:$E$19,$A$17,$I29,$B$7,'Απόδοση Εγκατάστασης'!$C$21,'Απόδοση Εγκατάστασης'!$J$2,'Απόδοση Εγκατάστασης'!$J$3)</f>
        <v>1145.4139636864963</v>
      </c>
      <c r="O29" s="209">
        <f t="shared" si="6"/>
        <v>9168.7718156751725</v>
      </c>
      <c r="P29" s="209">
        <f>PV_CF_FromCoincidenceChange('Απόδοση Εγκατάστασης'!$C$8:$C$19,'Απόδοση Εγκατάστασης'!$D$8:$D$19,'Απόδοση Εγκατάστασης'!$E$8:$E$19,$A$18,$I29,$B$7,'Απόδοση Εγκατάστασης'!$C$21,'Απόδοση Εγκατάστασης'!$J$2,'Απόδοση Εγκατάστασης'!$J$3)</f>
        <v>1167.9076944162769</v>
      </c>
      <c r="Q29" s="209">
        <f t="shared" si="7"/>
        <v>9528.0852791861525</v>
      </c>
      <c r="R29" s="209">
        <f>PV_CF_FromCoincidenceChange('Απόδοση Εγκατάστασης'!$C$8:$C$19,'Απόδοση Εγκατάστασης'!$D$8:$D$19,'Απόδοση Εγκατάστασης'!$E$8:$E$19,$A$19,$I29,$B$7,'Απόδοση Εγκατάστασης'!$C$21,'Απόδοση Εγκατάστασης'!$J$2,'Απόδοση Εγκατάστασης'!$J$3)</f>
        <v>1190.4014251460571</v>
      </c>
      <c r="S29" s="209">
        <f t="shared" si="8"/>
        <v>9887.3987426971289</v>
      </c>
      <c r="T29" s="209">
        <f>PV_CF_FromCoincidenceChange('Απόδοση Εγκατάστασης'!$C$8:$C$19,'Απόδοση Εγκατάστασης'!$D$8:$D$19,'Απόδοση Εγκατάστασης'!$E$8:$E$19,$A$20,$I29,$B$7,'Απόδοση Εγκατάστασης'!$C$21,'Απόδοση Εγκατάστασης'!$J$2,'Απόδοση Εγκατάστασης'!$J$3)</f>
        <v>1212.8951558758376</v>
      </c>
      <c r="U29" s="209">
        <f t="shared" si="9"/>
        <v>10246.712206208107</v>
      </c>
      <c r="V29" s="209">
        <f>PV_CF_FromCoincidenceChange('Απόδοση Εγκατάστασης'!$C$8:$C$19,'Απόδοση Εγκατάστασης'!$D$8:$D$19,'Απόδοση Εγκατάστασης'!$E$8:$E$19,$A$21,$I29,$B$7,'Απόδοση Εγκατάστασης'!$C$21,'Απόδοση Εγκατάστασης'!$J$2,'Απόδοση Εγκατάστασης'!$J$3)</f>
        <v>1235.3888866056182</v>
      </c>
      <c r="W29" s="209">
        <f t="shared" si="10"/>
        <v>10606.025669719087</v>
      </c>
      <c r="X29" s="209">
        <f>PV_CF_FromCoincidenceChange('Απόδοση Εγκατάστασης'!$C$8:$C$19,'Απόδοση Εγκατάστασης'!$D$8:$D$19,'Απόδοση Εγκατάστασης'!$E$8:$E$19,$A$22,$I29,$B$7,'Απόδοση Εγκατάστασης'!$C$21,'Απόδοση Εγκατάστασης'!$J$2,'Απόδοση Εγκατάστασης'!$J$3)</f>
        <v>1257.8826173353984</v>
      </c>
      <c r="Y29" s="209">
        <f t="shared" si="11"/>
        <v>10965.339133230063</v>
      </c>
      <c r="Z29" s="209">
        <f>PV_CF_FromCoincidenceChange('Απόδοση Εγκατάστασης'!$C$8:$C$19,'Απόδοση Εγκατάστασης'!$D$8:$D$19,'Απόδοση Εγκατάστασης'!$E$8:$E$19,$A$23,$I29,$B$7,'Απόδοση Εγκατάστασης'!$C$21,'Απόδοση Εγκατάστασης'!$J$2,'Απόδοση Εγκατάστασης'!$J$3)</f>
        <v>1280.3763480651789</v>
      </c>
      <c r="AA29" s="209">
        <f t="shared" si="12"/>
        <v>11324.652596741043</v>
      </c>
      <c r="AB29" s="209">
        <f>PV_CF_FromCoincidenceChange('Απόδοση Εγκατάστασης'!$C$8:$C$19,'Απόδοση Εγκατάστασης'!$D$8:$D$19,'Απόδοση Εγκατάστασης'!$E$8:$E$19,$A$24,$I29,$B$7,'Απόδοση Εγκατάστασης'!$C$21,'Απόδοση Εγκατάστασης'!$J$2,'Απόδοση Εγκατάστασης'!$J$3)</f>
        <v>1298.8912349158709</v>
      </c>
      <c r="AC29" s="209">
        <f t="shared" si="13"/>
        <v>11620.408254206446</v>
      </c>
      <c r="AD29" s="209">
        <f>PV_CF_FromCoincidenceChange('Απόδοση Εγκατάστασης'!$C$8:$C$19,'Απόδοση Εγκατάστασης'!$D$8:$D$19,'Απόδοση Εγκατάστασης'!$E$8:$E$19,$A$25,$I29,$B$7,'Απόδοση Εγκατάστασης'!$C$21,'Απόδοση Εγκατάστασης'!$J$2,'Απόδοση Εγκατάστασης'!$J$3)</f>
        <v>1312.1009965944447</v>
      </c>
      <c r="AE29" s="209">
        <f t="shared" si="14"/>
        <v>11831.420170277752</v>
      </c>
    </row>
    <row r="30" spans="1:31" ht="22.15" customHeight="1" x14ac:dyDescent="0.25">
      <c r="A30" s="211" t="s">
        <v>88</v>
      </c>
      <c r="B30" s="205"/>
      <c r="C30" s="205"/>
      <c r="D30" s="205"/>
      <c r="E30" s="205"/>
      <c r="F30" s="205"/>
      <c r="G30" s="205"/>
      <c r="H30" s="205"/>
      <c r="I30" s="222">
        <v>15</v>
      </c>
      <c r="J30" s="209">
        <f>PV_CF_FromCoincidenceChange('Απόδοση Εγκατάστασης'!$C$8:$C$19,'Απόδοση Εγκατάστασης'!$D$8:$D$19,'Απόδοση Εγκατάστασης'!$E$8:$E$19,$A$15,$I30,$B$7,'Απόδοση Εγκατάστασης'!$C$21,'Απόδοση Εγκατάστασης'!$J$2,'Απόδοση Εγκατάστασης'!$J$3)</f>
        <v>1078.8495119871916</v>
      </c>
      <c r="K30" s="209">
        <f t="shared" si="4"/>
        <v>9528.9944006404057</v>
      </c>
      <c r="L30" s="209">
        <f>PV_CF_FromCoincidenceChange('Απόδοση Εγκατάστασης'!$C$8:$C$19,'Απόδοση Εγκατάστασης'!$D$8:$D$19,'Απόδοση Εγκατάστασης'!$E$8:$E$19,$A$16,$I30,$B$7,'Απόδοση Εγκατάστασης'!$C$21,'Απόδοση Εγκατάστασης'!$J$2,'Απόδοση Εγκατάστασης'!$J$3)</f>
        <v>1100.9021891732509</v>
      </c>
      <c r="M30" s="209">
        <f t="shared" si="5"/>
        <v>9910.3605413374462</v>
      </c>
      <c r="N30" s="209">
        <f>PV_CF_FromCoincidenceChange('Απόδοση Εγκατάστασης'!$C$8:$C$19,'Απόδοση Εγκατάστασης'!$D$8:$D$19,'Απόδοση Εγκατάστασης'!$E$8:$E$19,$A$17,$I30,$B$7,'Απόδοση Εγκατάστασης'!$C$21,'Απόδοση Εγκατάστασης'!$J$2,'Απόδοση Εγκατάστασης'!$J$3)</f>
        <v>1122.95486635931</v>
      </c>
      <c r="O30" s="209">
        <f t="shared" si="6"/>
        <v>10291.726682034483</v>
      </c>
      <c r="P30" s="209">
        <f>PV_CF_FromCoincidenceChange('Απόδοση Εγκατάστασης'!$C$8:$C$19,'Απόδοση Εγκατάστασης'!$D$8:$D$19,'Απόδοση Εγκατάστασης'!$E$8:$E$19,$A$18,$I30,$B$7,'Απόδοση Εγκατάστασης'!$C$21,'Απόδοση Εγκατάστασης'!$J$2,'Απόδοση Εγκατάστασης'!$J$3)</f>
        <v>1145.0075435453693</v>
      </c>
      <c r="Q30" s="209">
        <f t="shared" si="7"/>
        <v>10673.092822731522</v>
      </c>
      <c r="R30" s="209">
        <f>PV_CF_FromCoincidenceChange('Απόδοση Εγκατάστασης'!$C$8:$C$19,'Απόδοση Εγκατάστασης'!$D$8:$D$19,'Απόδοση Εγκατάστασης'!$E$8:$E$19,$A$19,$I30,$B$7,'Απόδοση Εγκατάστασης'!$C$21,'Απόδοση Εγκατάστασης'!$J$2,'Απόδοση Εγκατάστασης'!$J$3)</f>
        <v>1167.0602207314284</v>
      </c>
      <c r="S30" s="209">
        <f t="shared" si="8"/>
        <v>11054.458963428557</v>
      </c>
      <c r="T30" s="209">
        <f>PV_CF_FromCoincidenceChange('Απόδοση Εγκατάστασης'!$C$8:$C$19,'Απόδοση Εγκατάστασης'!$D$8:$D$19,'Απόδοση Εγκατάστασης'!$E$8:$E$19,$A$20,$I30,$B$7,'Απόδοση Εγκατάστασης'!$C$21,'Απόδοση Εγκατάστασης'!$J$2,'Απόδοση Εγκατάστασης'!$J$3)</f>
        <v>1189.1128979174878</v>
      </c>
      <c r="U30" s="209">
        <f t="shared" si="9"/>
        <v>11435.825104125595</v>
      </c>
      <c r="V30" s="209">
        <f>PV_CF_FromCoincidenceChange('Απόδοση Εγκατάστασης'!$C$8:$C$19,'Απόδοση Εγκατάστασης'!$D$8:$D$19,'Απόδοση Εγκατάστασης'!$E$8:$E$19,$A$21,$I30,$B$7,'Απόδοση Εγκατάστασης'!$C$21,'Απόδοση Εγκατάστασης'!$J$2,'Απόδοση Εγκατάστασης'!$J$3)</f>
        <v>1211.1655751035471</v>
      </c>
      <c r="W30" s="209">
        <f t="shared" si="10"/>
        <v>11817.191244822634</v>
      </c>
      <c r="X30" s="209">
        <f>PV_CF_FromCoincidenceChange('Απόδοση Εγκατάστασης'!$C$8:$C$19,'Απόδοση Εγκατάστασης'!$D$8:$D$19,'Απόδοση Εγκατάστασης'!$E$8:$E$19,$A$22,$I30,$B$7,'Απόδοση Εγκατάστασης'!$C$21,'Απόδοση Εγκατάστασης'!$J$2,'Απόδοση Εγκατάστασης'!$J$3)</f>
        <v>1233.2182522896062</v>
      </c>
      <c r="Y30" s="209">
        <f t="shared" si="11"/>
        <v>12198.557385519669</v>
      </c>
      <c r="Z30" s="209">
        <f>PV_CF_FromCoincidenceChange('Απόδοση Εγκατάστασης'!$C$8:$C$19,'Απόδοση Εγκατάστασης'!$D$8:$D$19,'Απόδοση Εγκατάστασης'!$E$8:$E$19,$A$23,$I30,$B$7,'Απόδοση Εγκατάστασης'!$C$21,'Απόδοση Εγκατάστασης'!$J$2,'Απόδοση Εγκατάστασης'!$J$3)</f>
        <v>1255.2709294756655</v>
      </c>
      <c r="AA30" s="209">
        <f t="shared" si="12"/>
        <v>12579.923526216709</v>
      </c>
      <c r="AB30" s="209">
        <f>PV_CF_FromCoincidenceChange('Απόδοση Εγκατάστασης'!$C$8:$C$19,'Απόδοση Εγκατάστασης'!$D$8:$D$19,'Απόδοση Εγκατάστασης'!$E$8:$E$19,$A$24,$I30,$B$7,'Απόδοση Εγκατάστασης'!$C$21,'Απόδοση Εγκατάστασης'!$J$2,'Απόδοση Εγκατάστασης'!$J$3)</f>
        <v>1273.422779329285</v>
      </c>
      <c r="AC30" s="209">
        <f t="shared" si="13"/>
        <v>12893.831033535731</v>
      </c>
      <c r="AD30" s="209">
        <f>PV_CF_FromCoincidenceChange('Απόδοση Εγκατάστασης'!$C$8:$C$19,'Απόδοση Εγκατάστασης'!$D$8:$D$19,'Απόδοση Εγκατάστασης'!$E$8:$E$19,$A$25,$I30,$B$7,'Απόδοση Εγκατάστασης'!$C$21,'Απόδοση Εγκατάστασης'!$J$2,'Απόδοση Εγκατάστασης'!$J$3)</f>
        <v>1286.373526072985</v>
      </c>
      <c r="AE30" s="209">
        <f t="shared" si="14"/>
        <v>13117.793696350736</v>
      </c>
    </row>
    <row r="31" spans="1:31" ht="22.15" customHeight="1" x14ac:dyDescent="0.25">
      <c r="A31" s="223" t="s">
        <v>89</v>
      </c>
      <c r="B31" s="209">
        <f>MIN($D$15:$D$25)</f>
        <v>5.6294251010465626</v>
      </c>
      <c r="C31" s="205"/>
      <c r="D31" s="205"/>
      <c r="E31" s="205"/>
      <c r="F31" s="205"/>
      <c r="G31" s="205"/>
      <c r="H31" s="205"/>
      <c r="I31" s="222">
        <v>16</v>
      </c>
      <c r="J31" s="209">
        <f>PV_CF_FromCoincidenceChange('Απόδοση Εγκατάστασης'!$C$8:$C$19,'Απόδοση Εγκατάστασης'!$D$8:$D$19,'Απόδοση Εγκατάστασης'!$E$8:$E$19,$A$15,$I31,$B$7,'Απόδοση Εγκατάστασης'!$C$21,'Απόδοση Εγκατάστασης'!$J$2,'Απόδοση Εγκατάστασης'!$J$3)</f>
        <v>1057.6955999874426</v>
      </c>
      <c r="K31" s="209">
        <f t="shared" si="4"/>
        <v>10586.690000627848</v>
      </c>
      <c r="L31" s="209">
        <f>PV_CF_FromCoincidenceChange('Απόδοση Εγκατάστασης'!$C$8:$C$19,'Απόδοση Εγκατάστασης'!$D$8:$D$19,'Απόδοση Εγκατάστασης'!$E$8:$E$19,$A$16,$I31,$B$7,'Απόδοση Εγκατάστασης'!$C$21,'Απόδοση Εγκατάστασης'!$J$2,'Απόδοση Εγκατάστασης'!$J$3)</f>
        <v>1079.3158717384813</v>
      </c>
      <c r="M31" s="209">
        <f t="shared" si="5"/>
        <v>10989.676413075927</v>
      </c>
      <c r="N31" s="209">
        <f>PV_CF_FromCoincidenceChange('Απόδοση Εγκατάστασης'!$C$8:$C$19,'Απόδοση Εγκατάστασης'!$D$8:$D$19,'Απόδοση Εγκατάστασης'!$E$8:$E$19,$A$17,$I31,$B$7,'Απόδοση Εγκατάστασης'!$C$21,'Απόδοση Εγκατάστασης'!$J$2,'Απόδοση Εγκατάστασης'!$J$3)</f>
        <v>1100.9361434895197</v>
      </c>
      <c r="O31" s="209">
        <f t="shared" si="6"/>
        <v>11392.662825524003</v>
      </c>
      <c r="P31" s="209">
        <f>PV_CF_FromCoincidenceChange('Απόδοση Εγκατάστασης'!$C$8:$C$19,'Απόδοση Εγκατάστασης'!$D$8:$D$19,'Απόδοση Εγκατάστασης'!$E$8:$E$19,$A$18,$I31,$B$7,'Απόδοση Εγκατάστασης'!$C$21,'Απόδοση Εγκατάστασης'!$J$2,'Απόδοση Εγκατάστασης'!$J$3)</f>
        <v>1122.5564152405582</v>
      </c>
      <c r="Q31" s="209">
        <f t="shared" si="7"/>
        <v>11795.64923797208</v>
      </c>
      <c r="R31" s="209">
        <f>PV_CF_FromCoincidenceChange('Απόδοση Εγκατάστασης'!$C$8:$C$19,'Απόδοση Εγκατάστασης'!$D$8:$D$19,'Απόδοση Εγκατάστασης'!$E$8:$E$19,$A$19,$I31,$B$7,'Απόδοση Εγκατάστασης'!$C$21,'Απόδοση Εγκατάστασης'!$J$2,'Απόδοση Εγκατάστασης'!$J$3)</f>
        <v>1144.1766869915966</v>
      </c>
      <c r="S31" s="209">
        <f t="shared" si="8"/>
        <v>12198.635650420154</v>
      </c>
      <c r="T31" s="209">
        <f>PV_CF_FromCoincidenceChange('Απόδοση Εγκατάστασης'!$C$8:$C$19,'Απόδοση Εγκατάστασης'!$D$8:$D$19,'Απόδοση Εγκατάστασης'!$E$8:$E$19,$A$20,$I31,$B$7,'Απόδοση Εγκατάστασης'!$C$21,'Απόδοση Εγκατάστασης'!$J$2,'Απόδοση Εγκατάστασης'!$J$3)</f>
        <v>1165.7969587426351</v>
      </c>
      <c r="U31" s="209">
        <f t="shared" si="9"/>
        <v>12601.622062868231</v>
      </c>
      <c r="V31" s="209">
        <f>PV_CF_FromCoincidenceChange('Απόδοση Εγκατάστασης'!$C$8:$C$19,'Απόδοση Εγκατάστασης'!$D$8:$D$19,'Απόδοση Εγκατάστασης'!$E$8:$E$19,$A$21,$I31,$B$7,'Απόδοση Εγκατάστασης'!$C$21,'Απόδοση Εγκατάστασης'!$J$2,'Απόδοση Εγκατάστασης'!$J$3)</f>
        <v>1187.4172304936737</v>
      </c>
      <c r="W31" s="209">
        <f t="shared" si="10"/>
        <v>13004.608475316309</v>
      </c>
      <c r="X31" s="209">
        <f>PV_CF_FromCoincidenceChange('Απόδοση Εγκατάστασης'!$C$8:$C$19,'Απόδοση Εγκατάστασης'!$D$8:$D$19,'Απόδοση Εγκατάστασης'!$E$8:$E$19,$A$22,$I31,$B$7,'Απόδοση Εγκατάστασης'!$C$21,'Απόδοση Εγκατάστασης'!$J$2,'Απόδοση Εγκατάστασης'!$J$3)</f>
        <v>1209.037502244712</v>
      </c>
      <c r="Y31" s="209">
        <f t="shared" si="11"/>
        <v>13407.59488776438</v>
      </c>
      <c r="Z31" s="209">
        <f>PV_CF_FromCoincidenceChange('Απόδοση Εγκατάστασης'!$C$8:$C$19,'Απόδοση Εγκατάστασης'!$D$8:$D$19,'Απόδοση Εγκατάστασης'!$E$8:$E$19,$A$23,$I31,$B$7,'Απόδοση Εγκατάστασης'!$C$21,'Απόδοση Εγκατάστασης'!$J$2,'Απόδοση Εγκατάστασης'!$J$3)</f>
        <v>1230.6577739957504</v>
      </c>
      <c r="AA31" s="209">
        <f t="shared" si="12"/>
        <v>13810.58130021246</v>
      </c>
      <c r="AB31" s="209">
        <f>PV_CF_FromCoincidenceChange('Απόδοση Εγκατάστασης'!$C$8:$C$19,'Απόδοση Εγκατάστασης'!$D$8:$D$19,'Απόδοση Εγκατάστασης'!$E$8:$E$19,$A$24,$I31,$B$7,'Απόδοση Εγκατάστασης'!$C$21,'Απόδοση Εγκατάστασης'!$J$2,'Απόδοση Εγκατάστασης'!$J$3)</f>
        <v>1248.4537052247892</v>
      </c>
      <c r="AC31" s="209">
        <f t="shared" si="13"/>
        <v>14142.28473876052</v>
      </c>
      <c r="AD31" s="209">
        <f>PV_CF_FromCoincidenceChange('Απόδοση Εγκατάστασης'!$C$8:$C$19,'Απόδοση Εγκατάστασης'!$D$8:$D$19,'Απόδοση Εγκατάστασης'!$E$8:$E$19,$A$25,$I31,$B$7,'Απόδοση Εγκατάστασης'!$C$21,'Απόδοση Εγκατάστασης'!$J$2,'Απόδοση Εγκατάστασης'!$J$3)</f>
        <v>1261.1505157578285</v>
      </c>
      <c r="AE31" s="209">
        <f t="shared" si="14"/>
        <v>14378.944212108565</v>
      </c>
    </row>
    <row r="32" spans="1:31" ht="22.15" customHeight="1" x14ac:dyDescent="0.25">
      <c r="A32" s="223" t="s">
        <v>90</v>
      </c>
      <c r="B32" s="209">
        <f>MAX($D$15:$D$25)</f>
        <v>6.7869833666614614</v>
      </c>
      <c r="C32" s="205"/>
      <c r="D32" s="205"/>
      <c r="E32" s="205"/>
      <c r="F32" s="205"/>
      <c r="G32" s="205"/>
      <c r="H32" s="205"/>
      <c r="I32" s="222">
        <v>17</v>
      </c>
      <c r="J32" s="209">
        <f>PV_CF_FromCoincidenceChange('Απόδοση Εγκατάστασης'!$C$8:$C$19,'Απόδοση Εγκατάστασης'!$D$8:$D$19,'Απόδοση Εγκατάστασης'!$E$8:$E$19,$A$15,$I32,$B$7,'Απόδοση Εγκατάστασης'!$C$21,'Απόδοση Εγκατάστασης'!$J$2,'Απόδοση Εγκατάστασης'!$J$3)</f>
        <v>1036.9564705759242</v>
      </c>
      <c r="K32" s="209">
        <f t="shared" si="4"/>
        <v>11623.646471203772</v>
      </c>
      <c r="L32" s="209">
        <f>PV_CF_FromCoincidenceChange('Απόδοση Εγκατάστασης'!$C$8:$C$19,'Απόδοση Εγκατάστασης'!$D$8:$D$19,'Απόδοση Εγκατάστασης'!$E$8:$E$19,$A$16,$I32,$B$7,'Απόδοση Εγκατάστασης'!$C$21,'Απόδοση Εγκατάστασης'!$J$2,'Απόδοση Εγκατάστασης'!$J$3)</f>
        <v>1058.1528154298835</v>
      </c>
      <c r="M32" s="209">
        <f t="shared" si="5"/>
        <v>12047.829228505811</v>
      </c>
      <c r="N32" s="209">
        <f>PV_CF_FromCoincidenceChange('Απόδοση Εγκατάστασης'!$C$8:$C$19,'Απόδοση Εγκατάστασης'!$D$8:$D$19,'Απόδοση Εγκατάστασης'!$E$8:$E$19,$A$17,$I32,$B$7,'Απόδοση Εγκατάστασης'!$C$21,'Απόδοση Εγκατάστασης'!$J$2,'Απόδοση Εγκατάστασης'!$J$3)</f>
        <v>1079.3491602838428</v>
      </c>
      <c r="O32" s="209">
        <f t="shared" si="6"/>
        <v>12472.011985807845</v>
      </c>
      <c r="P32" s="209">
        <f>PV_CF_FromCoincidenceChange('Απόδοση Εγκατάστασης'!$C$8:$C$19,'Απόδοση Εγκατάστασης'!$D$8:$D$19,'Απόδοση Εγκατάστασης'!$E$8:$E$19,$A$18,$I32,$B$7,'Απόδοση Εγκατάστασης'!$C$21,'Απόδοση Εγκατάστασης'!$J$2,'Απόδοση Εγκατάστασης'!$J$3)</f>
        <v>1100.5455051378021</v>
      </c>
      <c r="Q32" s="209">
        <f t="shared" si="7"/>
        <v>12896.194743109882</v>
      </c>
      <c r="R32" s="209">
        <f>PV_CF_FromCoincidenceChange('Απόδοση Εγκατάστασης'!$C$8:$C$19,'Απόδοση Εγκατάστασης'!$D$8:$D$19,'Απόδοση Εγκατάστασης'!$E$8:$E$19,$A$19,$I32,$B$7,'Απόδοση Εγκατάστασης'!$C$21,'Απόδοση Εγκατάστασης'!$J$2,'Απόδοση Εγκατάστασης'!$J$3)</f>
        <v>1121.7418499917612</v>
      </c>
      <c r="S32" s="209">
        <f t="shared" si="8"/>
        <v>13320.377500411916</v>
      </c>
      <c r="T32" s="209">
        <f>PV_CF_FromCoincidenceChange('Απόδοση Εγκατάστασης'!$C$8:$C$19,'Απόδοση Εγκατάστασης'!$D$8:$D$19,'Απόδοση Εγκατάστασης'!$E$8:$E$19,$A$20,$I32,$B$7,'Απόδοση Εγκατάστασης'!$C$21,'Απόδοση Εγκατάστασης'!$J$2,'Απόδοση Εγκατάστασης'!$J$3)</f>
        <v>1142.9381948457205</v>
      </c>
      <c r="U32" s="209">
        <f t="shared" si="9"/>
        <v>13744.560257713953</v>
      </c>
      <c r="V32" s="209">
        <f>PV_CF_FromCoincidenceChange('Απόδοση Εγκατάστασης'!$C$8:$C$19,'Απόδοση Εγκατάστασης'!$D$8:$D$19,'Απόδοση Εγκατάστασης'!$E$8:$E$19,$A$21,$I32,$B$7,'Απόδοση Εγκατάστασης'!$C$21,'Απόδοση Εγκατάστασης'!$J$2,'Απόδοση Εγκατάστασης'!$J$3)</f>
        <v>1164.1345396996799</v>
      </c>
      <c r="W32" s="209">
        <f t="shared" si="10"/>
        <v>14168.743015015989</v>
      </c>
      <c r="X32" s="209">
        <f>PV_CF_FromCoincidenceChange('Απόδοση Εγκατάστασης'!$C$8:$C$19,'Απόδοση Εγκατάστασης'!$D$8:$D$19,'Απόδοση Εγκατάστασης'!$E$8:$E$19,$A$22,$I32,$B$7,'Απόδοση Εγκατάστασης'!$C$21,'Απόδοση Εγκατάστασης'!$J$2,'Απόδοση Εγκατάστασης'!$J$3)</f>
        <v>1185.3308845536392</v>
      </c>
      <c r="Y32" s="209">
        <f t="shared" si="11"/>
        <v>14592.92577231802</v>
      </c>
      <c r="Z32" s="209">
        <f>PV_CF_FromCoincidenceChange('Απόδοση Εγκατάστασης'!$C$8:$C$19,'Απόδοση Εγκατάστασης'!$D$8:$D$19,'Απόδοση Εγκατάστασης'!$E$8:$E$19,$A$23,$I32,$B$7,'Απόδοση Εγκατάστασης'!$C$21,'Απόδοση Εγκατάστασης'!$J$2,'Απόδοση Εγκατάστασης'!$J$3)</f>
        <v>1206.5272294075985</v>
      </c>
      <c r="AA32" s="209">
        <f t="shared" si="12"/>
        <v>15017.108529620058</v>
      </c>
      <c r="AB32" s="209">
        <f>PV_CF_FromCoincidenceChange('Απόδοση Εγκατάστασης'!$C$8:$C$19,'Απόδοση Εγκατάστασης'!$D$8:$D$19,'Απόδοση Εγκατάστασης'!$E$8:$E$19,$A$24,$I32,$B$7,'Απόδοση Εγκατάστασης'!$C$21,'Απόδοση Εγκατάστασης'!$J$2,'Απόδοση Εγκατάστασης'!$J$3)</f>
        <v>1223.9742208086168</v>
      </c>
      <c r="AC32" s="209">
        <f t="shared" si="13"/>
        <v>15366.258959569137</v>
      </c>
      <c r="AD32" s="209">
        <f>PV_CF_FromCoincidenceChange('Απόδοση Εγκατάστασης'!$C$8:$C$19,'Απόδοση Εγκατάστασης'!$D$8:$D$19,'Απόδοση Εγκατάστασης'!$E$8:$E$19,$A$25,$I32,$B$7,'Απόδοση Εγκατάστασης'!$C$21,'Απόδοση Εγκατάστασης'!$J$2,'Απόδοση Εγκατάστασης'!$J$3)</f>
        <v>1236.4220742723808</v>
      </c>
      <c r="AE32" s="209">
        <f t="shared" si="14"/>
        <v>15615.366286380946</v>
      </c>
    </row>
    <row r="33" spans="1:31" ht="22.15" customHeight="1" x14ac:dyDescent="0.25">
      <c r="A33" s="223" t="s">
        <v>123</v>
      </c>
      <c r="B33" s="209">
        <f>B32-B31</f>
        <v>1.1575582656148988</v>
      </c>
      <c r="C33" s="205"/>
      <c r="D33" s="205"/>
      <c r="E33" s="205"/>
      <c r="F33" s="205"/>
      <c r="G33" s="205"/>
      <c r="H33" s="205"/>
      <c r="I33" s="222">
        <v>18</v>
      </c>
      <c r="J33" s="209">
        <f>PV_CF_FromCoincidenceChange('Απόδοση Εγκατάστασης'!$C$8:$C$19,'Απόδοση Εγκατάστασης'!$D$8:$D$19,'Απόδοση Εγκατάστασης'!$E$8:$E$19,$A$15,$I33,$B$7,'Απόδοση Εγκατάστασης'!$C$21,'Απόδοση Εγκατάστασης'!$J$2,'Απόδοση Εγκατάστασης'!$J$3)</f>
        <v>1016.6239907607099</v>
      </c>
      <c r="K33" s="209">
        <f t="shared" si="4"/>
        <v>12640.270461964483</v>
      </c>
      <c r="L33" s="209">
        <f>PV_CF_FromCoincidenceChange('Απόδοση Εγκατάστασης'!$C$8:$C$19,'Απόδοση Εγκατάστασης'!$D$8:$D$19,'Απόδοση Εγκατάστασης'!$E$8:$E$19,$A$16,$I33,$B$7,'Απόδοση Εγκατάστασης'!$C$21,'Απόδοση Εγκατάστασης'!$J$2,'Απόδοση Εγκατάστασης'!$J$3)</f>
        <v>1037.4047210096896</v>
      </c>
      <c r="M33" s="209">
        <f t="shared" si="5"/>
        <v>13085.233949515499</v>
      </c>
      <c r="N33" s="209">
        <f>PV_CF_FromCoincidenceChange('Απόδοση Εγκατάστασης'!$C$8:$C$19,'Απόδοση Εγκατάστασης'!$D$8:$D$19,'Απόδοση Εγκατάστασης'!$E$8:$E$19,$A$17,$I33,$B$7,'Απόδοση Εγκατάστασης'!$C$21,'Απόδοση Εγκατάστασης'!$J$2,'Απόδοση Εγκατάστασης'!$J$3)</f>
        <v>1058.1854512586694</v>
      </c>
      <c r="O33" s="209">
        <f t="shared" si="6"/>
        <v>13530.197437066514</v>
      </c>
      <c r="P33" s="209">
        <f>PV_CF_FromCoincidenceChange('Απόδοση Εγκατάστασης'!$C$8:$C$19,'Απόδοση Εγκατάστασης'!$D$8:$D$19,'Απόδοση Εγκατάστασης'!$E$8:$E$19,$A$18,$I33,$B$7,'Απόδοση Εγκατάστασης'!$C$21,'Απόδοση Εγκατάστασης'!$J$2,'Απόδοση Εγκατάστασης'!$J$3)</f>
        <v>1078.966181507649</v>
      </c>
      <c r="Q33" s="209">
        <f t="shared" si="7"/>
        <v>13975.16092461753</v>
      </c>
      <c r="R33" s="209">
        <f>PV_CF_FromCoincidenceChange('Απόδοση Εγκατάστασης'!$C$8:$C$19,'Απόδοση Εγκατάστασης'!$D$8:$D$19,'Απόδοση Εγκατάστασης'!$E$8:$E$19,$A$19,$I33,$B$7,'Απόδοση Εγκατάστασης'!$C$21,'Απόδοση Εγκατάστασης'!$J$2,'Απόδοση Εγκατάστασης'!$J$3)</f>
        <v>1099.7469117566286</v>
      </c>
      <c r="S33" s="209">
        <f t="shared" si="8"/>
        <v>14420.124412168545</v>
      </c>
      <c r="T33" s="209">
        <f>PV_CF_FromCoincidenceChange('Απόδοση Εγκατάστασης'!$C$8:$C$19,'Απόδοση Εγκατάστασης'!$D$8:$D$19,'Απόδοση Εγκατάστασης'!$E$8:$E$19,$A$20,$I33,$B$7,'Απόδοση Εγκατάστασης'!$C$21,'Απόδοση Εγκατάστασης'!$J$2,'Απόδοση Εγκατάστασης'!$J$3)</f>
        <v>1120.5276420056084</v>
      </c>
      <c r="U33" s="209">
        <f t="shared" si="9"/>
        <v>14865.087899719561</v>
      </c>
      <c r="V33" s="209">
        <f>PV_CF_FromCoincidenceChange('Απόδοση Εγκατάστασης'!$C$8:$C$19,'Απόδοση Εγκατάστασης'!$D$8:$D$19,'Απόδοση Εγκατάστασης'!$E$8:$E$19,$A$21,$I33,$B$7,'Απόδοση Εγκατάστασης'!$C$21,'Απόδοση Εγκατάστασης'!$J$2,'Απόδοση Εγκατάστασης'!$J$3)</f>
        <v>1141.3083722545882</v>
      </c>
      <c r="W33" s="209">
        <f t="shared" si="10"/>
        <v>15310.051387270578</v>
      </c>
      <c r="X33" s="209">
        <f>PV_CF_FromCoincidenceChange('Απόδοση Εγκατάστασης'!$C$8:$C$19,'Απόδοση Εγκατάστασης'!$D$8:$D$19,'Απόδοση Εγκατάστασης'!$E$8:$E$19,$A$22,$I33,$B$7,'Απόδοση Εγκατάστασης'!$C$21,'Απόδοση Εγκατάστασης'!$J$2,'Απόδοση Εγκατάστασης'!$J$3)</f>
        <v>1162.0891025035678</v>
      </c>
      <c r="Y33" s="209">
        <f t="shared" si="11"/>
        <v>15755.014874821587</v>
      </c>
      <c r="Z33" s="209">
        <f>PV_CF_FromCoincidenceChange('Απόδοση Εγκατάστασης'!$C$8:$C$19,'Απόδοση Εγκατάστασης'!$D$8:$D$19,'Απόδοση Εγκατάστασης'!$E$8:$E$19,$A$23,$I33,$B$7,'Απόδοση Εγκατάστασης'!$C$21,'Απόδοση Εγκατάστασης'!$J$2,'Απόδοση Εγκατάστασης'!$J$3)</f>
        <v>1182.8698327525474</v>
      </c>
      <c r="AA33" s="209">
        <f t="shared" si="12"/>
        <v>16199.978362372605</v>
      </c>
      <c r="AB33" s="209">
        <f>PV_CF_FromCoincidenceChange('Απόδοση Εγκατάστασης'!$C$8:$C$19,'Απόδοση Εγκατάστασης'!$D$8:$D$19,'Απόδοση Εγκατάστασης'!$E$8:$E$19,$A$24,$I33,$B$7,'Απόδοση Εγκατάστασης'!$C$21,'Απόδοση Εγκατάστασης'!$J$2,'Απόδοση Εγκατάστασης'!$J$3)</f>
        <v>1199.9747262829576</v>
      </c>
      <c r="AC33" s="209">
        <f t="shared" si="13"/>
        <v>16566.233685852094</v>
      </c>
      <c r="AD33" s="209">
        <f>PV_CF_FromCoincidenceChange('Απόδοση Εγκατάστασης'!$C$8:$C$19,'Απόδοση Εγκατάστασης'!$D$8:$D$19,'Απόδοση Εγκατάστασης'!$E$8:$E$19,$A$25,$I33,$B$7,'Απόδοση Εγκατάστασης'!$C$21,'Απόδοση Εγκατάστασης'!$J$2,'Απόδοση Εγκατάστασης'!$J$3)</f>
        <v>1212.1785041886085</v>
      </c>
      <c r="AE33" s="209">
        <f t="shared" si="14"/>
        <v>16827.544790569555</v>
      </c>
    </row>
    <row r="34" spans="1:31" ht="22.15" customHeight="1" x14ac:dyDescent="0.25">
      <c r="A34" s="223" t="s">
        <v>144</v>
      </c>
      <c r="B34" s="209">
        <f>INDEX($C$15:$C$25,MATCH(MIN($B$15:$B$25),$B$15:$B$25,0))</f>
        <v>19219.851851008301</v>
      </c>
      <c r="C34" s="205"/>
      <c r="D34" s="205"/>
      <c r="E34" s="205"/>
      <c r="F34" s="205"/>
      <c r="G34" s="205"/>
      <c r="H34" s="205"/>
      <c r="I34" s="222">
        <v>19</v>
      </c>
      <c r="J34" s="209">
        <f>PV_CF_FromCoincidenceChange('Απόδοση Εγκατάστασης'!$C$8:$C$19,'Απόδοση Εγκατάστασης'!$D$8:$D$19,'Απόδοση Εγκατάστασης'!$E$8:$E$19,$A$15,$I34,$B$7,'Απόδοση Εγκατάστασης'!$C$21,'Απόδοση Εγκατάστασης'!$J$2,'Απόδοση Εγκατάστασης'!$J$3)</f>
        <v>996.69018702030382</v>
      </c>
      <c r="K34" s="209">
        <f t="shared" si="4"/>
        <v>13636.960648984787</v>
      </c>
      <c r="L34" s="209">
        <f>PV_CF_FromCoincidenceChange('Απόδοση Εγκατάστασης'!$C$8:$C$19,'Απόδοση Εγκατάστασης'!$D$8:$D$19,'Απόδοση Εγκατάστασης'!$E$8:$E$19,$A$16,$I34,$B$7,'Απόδοση Εγκατάστασης'!$C$21,'Απόδοση Εγκατάστασης'!$J$2,'Απόδοση Εγκατάστασης'!$J$3)</f>
        <v>1017.0634519702839</v>
      </c>
      <c r="M34" s="209">
        <f t="shared" si="5"/>
        <v>14102.297401485783</v>
      </c>
      <c r="N34" s="209">
        <f>PV_CF_FromCoincidenceChange('Απόδοση Εγκατάστασης'!$C$8:$C$19,'Απόδοση Εγκατάστασης'!$D$8:$D$19,'Απόδοση Εγκατάστασης'!$E$8:$E$19,$A$17,$I34,$B$7,'Απόδοση Εγκατάστασης'!$C$21,'Απόδοση Εγκατάστασης'!$J$2,'Απόδοση Εγκατάστασης'!$J$3)</f>
        <v>1037.4367169202642</v>
      </c>
      <c r="O34" s="209">
        <f t="shared" si="6"/>
        <v>14567.634153986779</v>
      </c>
      <c r="P34" s="209">
        <f>PV_CF_FromCoincidenceChange('Απόδοση Εγκατάστασης'!$C$8:$C$19,'Απόδοση Εγκατάστασης'!$D$8:$D$19,'Απόδοση Εγκατάστασης'!$E$8:$E$19,$A$18,$I34,$B$7,'Απόδοση Εγκατάστασης'!$C$21,'Απόδοση Εγκατάστασης'!$J$2,'Απόδοση Εγκατάστασης'!$J$3)</f>
        <v>1057.8099818702442</v>
      </c>
      <c r="Q34" s="209">
        <f t="shared" si="7"/>
        <v>15032.970906487775</v>
      </c>
      <c r="R34" s="209">
        <f>PV_CF_FromCoincidenceChange('Απόδοση Εγκατάστασης'!$C$8:$C$19,'Απόδοση Εγκατάστασης'!$D$8:$D$19,'Απόδοση Εγκατάστασης'!$E$8:$E$19,$A$19,$I34,$B$7,'Απόδοση Εγκατάστασης'!$C$21,'Απόδοση Εγκατάστασης'!$J$2,'Απόδοση Εγκατάστασης'!$J$3)</f>
        <v>1078.1832468202242</v>
      </c>
      <c r="S34" s="209">
        <f t="shared" si="8"/>
        <v>15498.30765898877</v>
      </c>
      <c r="T34" s="209">
        <f>PV_CF_FromCoincidenceChange('Απόδοση Εγκατάστασης'!$C$8:$C$19,'Απόδοση Εγκατάστασης'!$D$8:$D$19,'Απόδοση Εγκατάστασης'!$E$8:$E$19,$A$20,$I34,$B$7,'Απόδοση Εγκατάστασης'!$C$21,'Απόδοση Εγκατάστασης'!$J$2,'Απόδοση Εγκατάστασης'!$J$3)</f>
        <v>1098.5565117702045</v>
      </c>
      <c r="U34" s="209">
        <f t="shared" si="9"/>
        <v>15963.644411489766</v>
      </c>
      <c r="V34" s="209">
        <f>PV_CF_FromCoincidenceChange('Απόδοση Εγκατάστασης'!$C$8:$C$19,'Απόδοση Εγκατάστασης'!$D$8:$D$19,'Απόδοση Εγκατάστασης'!$E$8:$E$19,$A$21,$I34,$B$7,'Απόδοση Εγκατάστασης'!$C$21,'Απόδοση Εγκατάστασης'!$J$2,'Απόδοση Εγκατάστασης'!$J$3)</f>
        <v>1118.9297767201845</v>
      </c>
      <c r="W34" s="209">
        <f t="shared" si="10"/>
        <v>16428.981163990764</v>
      </c>
      <c r="X34" s="209">
        <f>PV_CF_FromCoincidenceChange('Απόδοση Εγκατάστασης'!$C$8:$C$19,'Απόδοση Εγκατάστασης'!$D$8:$D$19,'Απόδοση Εγκατάστασης'!$E$8:$E$19,$A$22,$I34,$B$7,'Απόδοση Εγκατάστασης'!$C$21,'Απόδοση Εγκατάστασης'!$J$2,'Απόδοση Εγκατάστασης'!$J$3)</f>
        <v>1139.3030416701645</v>
      </c>
      <c r="Y34" s="209">
        <f t="shared" si="11"/>
        <v>16894.317916491753</v>
      </c>
      <c r="Z34" s="209">
        <f>PV_CF_FromCoincidenceChange('Απόδοση Εγκατάστασης'!$C$8:$C$19,'Απόδοση Εγκατάστασης'!$D$8:$D$19,'Απόδοση Εγκατάστασης'!$E$8:$E$19,$A$23,$I34,$B$7,'Απόδοση Εγκατάστασης'!$C$21,'Απόδοση Εγκατάστασης'!$J$2,'Απόδοση Εγκατάστασης'!$J$3)</f>
        <v>1159.6763066201447</v>
      </c>
      <c r="AA34" s="209">
        <f t="shared" si="12"/>
        <v>17359.654668992749</v>
      </c>
      <c r="AB34" s="209">
        <f>PV_CF_FromCoincidenceChange('Απόδοση Εγκατάστασης'!$C$8:$C$19,'Απόδοση Εγκατάστασης'!$D$8:$D$19,'Απόδοση Εγκατάστασης'!$E$8:$E$19,$A$24,$I34,$B$7,'Απόδοση Εγκατάστασης'!$C$21,'Απόδοση Εγκατάστασης'!$J$2,'Απόδοση Εγκατάστασης'!$J$3)</f>
        <v>1176.445810081331</v>
      </c>
      <c r="AC34" s="209">
        <f t="shared" si="13"/>
        <v>17742.679495933426</v>
      </c>
      <c r="AD34" s="209">
        <f>PV_CF_FromCoincidenceChange('Απόδοση Εγκατάστασης'!$C$8:$C$19,'Απόδοση Εγκατάστασης'!$D$8:$D$19,'Απόδοση Εγκατάστασης'!$E$8:$E$19,$A$25,$I34,$B$7,'Απόδοση Εγκατάστασης'!$C$21,'Απόδοση Εγκατάστασης'!$J$2,'Απόδοση Εγκατάστασης'!$J$3)</f>
        <v>1188.4102982241261</v>
      </c>
      <c r="AE34" s="209">
        <f t="shared" si="14"/>
        <v>18015.955088793682</v>
      </c>
    </row>
    <row r="35" spans="1:31" ht="36.75" customHeight="1" x14ac:dyDescent="0.25">
      <c r="A35" s="223" t="s">
        <v>145</v>
      </c>
      <c r="B35" s="209">
        <f>INDEX($C$15:$C$25,MATCH(MAX($B$15:$B$25),$B$15:$B$25,0))</f>
        <v>24672.753244080886</v>
      </c>
      <c r="C35" s="205"/>
      <c r="D35" s="205"/>
      <c r="E35" s="205"/>
      <c r="F35" s="205"/>
      <c r="G35" s="205"/>
      <c r="H35" s="205"/>
      <c r="I35" s="222">
        <v>20</v>
      </c>
      <c r="J35" s="209">
        <f>PV_CF_FromCoincidenceChange('Απόδοση Εγκατάστασης'!$C$8:$C$19,'Απόδοση Εγκατάστασης'!$D$8:$D$19,'Απόδοση Εγκατάστασης'!$E$8:$E$19,$A$15,$I35,$B$7,'Απόδοση Εγκατάστασης'!$C$21,'Απόδοση Εγκατάστασης'!$J$2,'Απόδοση Εγκατάστασης'!$J$3)</f>
        <v>977.14724217676837</v>
      </c>
      <c r="K35" s="209">
        <f t="shared" si="4"/>
        <v>14614.107891161555</v>
      </c>
      <c r="L35" s="209">
        <f>PV_CF_FromCoincidenceChange('Απόδοση Εγκατάστασης'!$C$8:$C$19,'Απόδοση Εγκατάστασης'!$D$8:$D$19,'Απόδοση Εγκατάστασης'!$E$8:$E$19,$A$16,$I35,$B$7,'Απόδοση Εγκατάστασης'!$C$21,'Απόδοση Εγκατάστασης'!$J$2,'Απόδοση Εγκατάστασης'!$J$3)</f>
        <v>997.12103134341555</v>
      </c>
      <c r="M35" s="209">
        <f t="shared" si="5"/>
        <v>15099.418432829198</v>
      </c>
      <c r="N35" s="209">
        <f>PV_CF_FromCoincidenceChange('Απόδοση Εγκατάστασης'!$C$8:$C$19,'Απόδοση Εγκατάστασης'!$D$8:$D$19,'Απόδοση Εγκατάστασης'!$E$8:$E$19,$A$17,$I35,$B$7,'Απόδοση Εγκατάστασης'!$C$21,'Απόδοση Εγκατάστασης'!$J$2,'Απόδοση Εγκατάστασης'!$J$3)</f>
        <v>1017.0948205100627</v>
      </c>
      <c r="O35" s="209">
        <f t="shared" si="6"/>
        <v>15584.728974496842</v>
      </c>
      <c r="P35" s="209">
        <f>PV_CF_FromCoincidenceChange('Απόδοση Εγκατάστασης'!$C$8:$C$19,'Απόδοση Εγκατάστασης'!$D$8:$D$19,'Απόδοση Εγκατάστασης'!$E$8:$E$19,$A$18,$I35,$B$7,'Απόδοση Εγκατάστασης'!$C$21,'Απόδοση Εγκατάστασης'!$J$2,'Απόδοση Εγκατάστασης'!$J$3)</f>
        <v>1037.0686096767099</v>
      </c>
      <c r="Q35" s="209">
        <f t="shared" si="7"/>
        <v>16070.039516164485</v>
      </c>
      <c r="R35" s="209">
        <f>PV_CF_FromCoincidenceChange('Απόδοση Εγκατάστασης'!$C$8:$C$19,'Απόδοση Εγκατάστασης'!$D$8:$D$19,'Απόδοση Εγκατάστασης'!$E$8:$E$19,$A$19,$I35,$B$7,'Απόδοση Εγκατάστασης'!$C$21,'Απόδοση Εγκατάστασης'!$J$2,'Απόδοση Εγκατάστασης'!$J$3)</f>
        <v>1057.042398843357</v>
      </c>
      <c r="S35" s="209">
        <f t="shared" si="8"/>
        <v>16555.350057832125</v>
      </c>
      <c r="T35" s="209">
        <f>PV_CF_FromCoincidenceChange('Απόδοση Εγκατάστασης'!$C$8:$C$19,'Απόδοση Εγκατάστασης'!$D$8:$D$19,'Απόδοση Εγκατάστασης'!$E$8:$E$19,$A$20,$I35,$B$7,'Απόδοση Εγκατάστασης'!$C$21,'Απόδοση Εγκατάστασης'!$J$2,'Απόδοση Εγκατάστασης'!$J$3)</f>
        <v>1077.0161880100043</v>
      </c>
      <c r="U35" s="209">
        <f t="shared" si="9"/>
        <v>17040.66059949977</v>
      </c>
      <c r="V35" s="209">
        <f>PV_CF_FromCoincidenceChange('Απόδοση Εγκατάστασης'!$C$8:$C$19,'Απόδοση Εγκατάστασης'!$D$8:$D$19,'Απόδοση Εγκατάστασης'!$E$8:$E$19,$A$21,$I35,$B$7,'Απόδοση Εγκατάστασης'!$C$21,'Απόδοση Εγκατάστασης'!$J$2,'Απόδοση Εγκατάστασης'!$J$3)</f>
        <v>1096.9899771766513</v>
      </c>
      <c r="W35" s="209">
        <f t="shared" si="10"/>
        <v>17525.971141167414</v>
      </c>
      <c r="X35" s="209">
        <f>PV_CF_FromCoincidenceChange('Απόδοση Εγκατάστασης'!$C$8:$C$19,'Απόδοση Εγκατάστασης'!$D$8:$D$19,'Απόδοση Εγκατάστασης'!$E$8:$E$19,$A$22,$I35,$B$7,'Απόδοση Εγκατάστασης'!$C$21,'Απόδοση Εγκατάστασης'!$J$2,'Απόδοση Εγκατάστασης'!$J$3)</f>
        <v>1116.9637663432984</v>
      </c>
      <c r="Y35" s="209">
        <f t="shared" si="11"/>
        <v>18011.281682835051</v>
      </c>
      <c r="Z35" s="209">
        <f>PV_CF_FromCoincidenceChange('Απόδοση Εγκατάστασης'!$C$8:$C$19,'Απόδοση Εγκατάστασης'!$D$8:$D$19,'Απόδοση Εγκατάστασης'!$E$8:$E$19,$A$23,$I35,$B$7,'Απόδοση Εγκατάστασης'!$C$21,'Απόδοση Εγκατάστασης'!$J$2,'Απόδοση Εγκατάστασης'!$J$3)</f>
        <v>1136.9375555099457</v>
      </c>
      <c r="AA35" s="209">
        <f t="shared" si="12"/>
        <v>18496.592224502696</v>
      </c>
      <c r="AB35" s="209">
        <f>PV_CF_FromCoincidenceChange('Απόδοση Εγκατάστασης'!$C$8:$C$19,'Απόδοση Εγκατάστασης'!$D$8:$D$19,'Απόδοση Εγκατάστασης'!$E$8:$E$19,$A$24,$I35,$B$7,'Απόδοση Εγκατάστασης'!$C$21,'Απόδοση Εγκατάστασης'!$J$2,'Απόδοση Εγκατάστασης'!$J$3)</f>
        <v>1153.3782451777754</v>
      </c>
      <c r="AC35" s="209">
        <f t="shared" si="13"/>
        <v>18896.057741111203</v>
      </c>
      <c r="AD35" s="209">
        <f>PV_CF_FromCoincidenceChange('Απόδοση Εγκατάστασης'!$C$8:$C$19,'Απόδοση Εγκατάστασης'!$D$8:$D$19,'Απόδοση Εγκατάστασης'!$E$8:$E$19,$A$25,$I35,$B$7,'Απόδοση Εγκατάστασης'!$C$21,'Απόδοση Εγκατάστασης'!$J$2,'Απόδοση Εγκατάστασης'!$J$3)</f>
        <v>1165.108135513849</v>
      </c>
      <c r="AE35" s="209">
        <f t="shared" si="14"/>
        <v>19181.063224307531</v>
      </c>
    </row>
    <row r="36" spans="1:31" ht="36" customHeight="1" x14ac:dyDescent="0.25">
      <c r="A36" s="206" t="s">
        <v>94</v>
      </c>
      <c r="B36" s="208">
        <f>AVERAGE(ABS(H16),ABS(H17),ABS(H18),ABS(H19),ABS(H20),ABS(H21),ABS(H22),ABS(H23),ABS(H24),ABS(H25))</f>
        <v>0.39188751917154308</v>
      </c>
      <c r="C36" s="205"/>
      <c r="D36" s="205"/>
      <c r="E36" s="205"/>
      <c r="F36" s="205"/>
      <c r="G36" s="205"/>
      <c r="H36" s="205"/>
      <c r="I36" s="222">
        <v>21</v>
      </c>
      <c r="J36" s="209">
        <f>PV_CF_FromCoincidenceChange('Απόδοση Εγκατάστασης'!$C$8:$C$19,'Απόδοση Εγκατάστασης'!$D$8:$D$19,'Απόδοση Εγκατάστασης'!$E$8:$E$19,$A$15,$I36,$B$7,'Απόδοση Εγκατάστασης'!$C$21,'Απόδοση Εγκατάστασης'!$J$2,'Απόδοση Εγκατάστασης'!$J$3)</f>
        <v>957.9874923301652</v>
      </c>
      <c r="K36" s="209">
        <f t="shared" si="4"/>
        <v>15572.09538349172</v>
      </c>
      <c r="L36" s="209">
        <f>PV_CF_FromCoincidenceChange('Απόδοση Εγκατάστασης'!$C$8:$C$19,'Απόδοση Εγκατάστασης'!$D$8:$D$19,'Απόδοση Εγκατάστασης'!$E$8:$E$19,$A$16,$I36,$B$7,'Απόδοση Εγκατάστασης'!$C$21,'Απόδοση Εγκατάστασης'!$J$2,'Απόδοση Εγκατάστασης'!$J$3)</f>
        <v>977.56963857197616</v>
      </c>
      <c r="M36" s="209">
        <f t="shared" si="5"/>
        <v>16076.988071401174</v>
      </c>
      <c r="N36" s="209">
        <f>PV_CF_FromCoincidenceChange('Απόδοση Εγκατάστασης'!$C$8:$C$19,'Απόδοση Εγκατάστασης'!$D$8:$D$19,'Απόδοση Εγκατάστασης'!$E$8:$E$19,$A$17,$I36,$B$7,'Απόδοση Εγκατάστασης'!$C$21,'Απόδοση Εγκατάστασης'!$J$2,'Απόδοση Εγκατάστασης'!$J$3)</f>
        <v>997.15178481378712</v>
      </c>
      <c r="O36" s="209">
        <f t="shared" si="6"/>
        <v>16581.880759310628</v>
      </c>
      <c r="P36" s="209">
        <f>PV_CF_FromCoincidenceChange('Απόδοση Εγκατάστασης'!$C$8:$C$19,'Απόδοση Εγκατάστασης'!$D$8:$D$19,'Απόδοση Εγκατάστασης'!$E$8:$E$19,$A$18,$I36,$B$7,'Απόδοση Εγκατάστασης'!$C$21,'Απόδοση Εγκατάστασης'!$J$2,'Απόδοση Εγκατάστασης'!$J$3)</f>
        <v>1016.7339310555981</v>
      </c>
      <c r="Q36" s="209">
        <f t="shared" si="7"/>
        <v>17086.773447220083</v>
      </c>
      <c r="R36" s="209">
        <f>PV_CF_FromCoincidenceChange('Απόδοση Εγκατάστασης'!$C$8:$C$19,'Απόδοση Εγκατάστασης'!$D$8:$D$19,'Απόδοση Εγκατάστασης'!$E$8:$E$19,$A$19,$I36,$B$7,'Απόδοση Εγκατάστασης'!$C$21,'Απόδοση Εγκατάστασης'!$J$2,'Απόδοση Εγκατάστασης'!$J$3)</f>
        <v>1036.3160772974088</v>
      </c>
      <c r="S36" s="209">
        <f t="shared" si="8"/>
        <v>17591.666135129533</v>
      </c>
      <c r="T36" s="209">
        <f>PV_CF_FromCoincidenceChange('Απόδοση Εγκατάστασης'!$C$8:$C$19,'Απόδοση Εγκατάστασης'!$D$8:$D$19,'Απόδοση Εγκατάστασης'!$E$8:$E$19,$A$20,$I36,$B$7,'Απόδοση Εγκατάστασης'!$C$21,'Απόδοση Εγκατάστασης'!$J$2,'Απόδοση Εγκατάστασης'!$J$3)</f>
        <v>1055.8982235392198</v>
      </c>
      <c r="U36" s="209">
        <f t="shared" si="9"/>
        <v>18096.558823038991</v>
      </c>
      <c r="V36" s="209">
        <f>PV_CF_FromCoincidenceChange('Απόδοση Εγκατάστασης'!$C$8:$C$19,'Απόδοση Εγκατάστασης'!$D$8:$D$19,'Απόδοση Εγκατάστασης'!$E$8:$E$19,$A$21,$I36,$B$7,'Απόδοση Εγκατάστασης'!$C$21,'Απόδοση Εγκατάστασης'!$J$2,'Απόδοση Εγκατάστασης'!$J$3)</f>
        <v>1075.480369781031</v>
      </c>
      <c r="W36" s="209">
        <f t="shared" si="10"/>
        <v>18601.451510948446</v>
      </c>
      <c r="X36" s="209">
        <f>PV_CF_FromCoincidenceChange('Απόδοση Εγκατάστασης'!$C$8:$C$19,'Απόδοση Εγκατάστασης'!$D$8:$D$19,'Απόδοση Εγκατάστασης'!$E$8:$E$19,$A$22,$I36,$B$7,'Απόδοση Εγκατάστασης'!$C$21,'Απόδοση Εγκατάστασης'!$J$2,'Απόδοση Εγκατάστασης'!$J$3)</f>
        <v>1095.0625160228417</v>
      </c>
      <c r="Y36" s="209">
        <f t="shared" si="11"/>
        <v>19106.344198857892</v>
      </c>
      <c r="Z36" s="209">
        <f>PV_CF_FromCoincidenceChange('Απόδοση Εγκατάστασης'!$C$8:$C$19,'Απόδοση Εγκατάστασης'!$D$8:$D$19,'Απόδοση Εγκατάστασης'!$E$8:$E$19,$A$23,$I36,$B$7,'Απόδοση Εγκατάστασης'!$C$21,'Απόδοση Εγκατάστασης'!$J$2,'Απόδοση Εγκατάστασης'!$J$3)</f>
        <v>1114.6446622646527</v>
      </c>
      <c r="AA36" s="209">
        <f t="shared" si="12"/>
        <v>19611.23688676735</v>
      </c>
      <c r="AB36" s="209">
        <f>PV_CF_FromCoincidenceChange('Απόδοση Εγκατάστασης'!$C$8:$C$19,'Απόδοση Εγκατάστασης'!$D$8:$D$19,'Απόδοση Εγκατάστασης'!$E$8:$E$19,$A$24,$I36,$B$7,'Απόδοση Εγκατάστασης'!$C$21,'Απόδοση Εγκατάστασης'!$J$2,'Απόδοση Εγκατάστασης'!$J$3)</f>
        <v>1130.7629854684074</v>
      </c>
      <c r="AC36" s="209">
        <f t="shared" si="13"/>
        <v>20026.820726579608</v>
      </c>
      <c r="AD36" s="209">
        <f>PV_CF_FromCoincidenceChange('Απόδοση Εγκατάστασης'!$C$8:$C$19,'Απόδοση Εγκατάστασης'!$D$8:$D$19,'Απόδοση Εγκατάστασης'!$E$8:$E$19,$A$25,$I36,$B$7,'Απόδοση Εγκατάστασης'!$C$21,'Απόδοση Εγκατάστασης'!$J$2,'Απόδοση Εγκατάστασης'!$J$3)</f>
        <v>1142.262877954754</v>
      </c>
      <c r="AE36" s="209">
        <f t="shared" si="14"/>
        <v>20323.326102262283</v>
      </c>
    </row>
    <row r="37" spans="1:31" ht="22.15" customHeight="1" x14ac:dyDescent="0.25">
      <c r="A37" s="205"/>
      <c r="B37" s="205"/>
      <c r="C37" s="205"/>
      <c r="D37" s="205"/>
      <c r="E37" s="205"/>
      <c r="F37" s="205"/>
      <c r="G37" s="205"/>
      <c r="H37" s="205"/>
      <c r="I37" s="222">
        <v>22</v>
      </c>
      <c r="J37" s="209">
        <f>PV_CF_FromCoincidenceChange('Απόδοση Εγκατάστασης'!$C$8:$C$19,'Απόδοση Εγκατάστασης'!$D$8:$D$19,'Απόδοση Εγκατάστασης'!$E$8:$E$19,$A$15,$I37,$B$7,'Απόδοση Εγκατάστασης'!$C$21,'Απόδοση Εγκατάστασης'!$J$2,'Απόδοση Εγκατάστασης'!$J$3)</f>
        <v>939.20342385310312</v>
      </c>
      <c r="K37" s="209">
        <f t="shared" si="4"/>
        <v>16511.298807344821</v>
      </c>
      <c r="L37" s="209">
        <f>PV_CF_FromCoincidenceChange('Απόδοση Εγκατάστασης'!$C$8:$C$19,'Απόδοση Εγκατάστασης'!$D$8:$D$19,'Απόδοση Εγκατάστασης'!$E$8:$E$19,$A$16,$I37,$B$7,'Απόδοση Εγκατάστασης'!$C$21,'Απόδοση Εγκατάστασης'!$J$2,'Απόδοση Εγκατάστασης'!$J$3)</f>
        <v>958.40160644311379</v>
      </c>
      <c r="M37" s="209">
        <f t="shared" si="5"/>
        <v>17035.389677844287</v>
      </c>
      <c r="N37" s="209">
        <f>PV_CF_FromCoincidenceChange('Απόδοση Εγκατάστασης'!$C$8:$C$19,'Απόδοση Εγκατάστασης'!$D$8:$D$19,'Απόδοση Εγκατάστασης'!$E$8:$E$19,$A$17,$I37,$B$7,'Απόδοση Εγκατάστασης'!$C$21,'Απόδοση Εγκατάστασης'!$J$2,'Απόδοση Εγκατάστασης'!$J$3)</f>
        <v>977.59978903312458</v>
      </c>
      <c r="O37" s="209">
        <f t="shared" si="6"/>
        <v>17559.480548343752</v>
      </c>
      <c r="P37" s="209">
        <f>PV_CF_FromCoincidenceChange('Απόδοση Εγκατάστασης'!$C$8:$C$19,'Απόδοση Εγκατάστασης'!$D$8:$D$19,'Απόδοση Εγκατάστασης'!$E$8:$E$19,$A$18,$I37,$B$7,'Απόδοση Εγκατάστασης'!$C$21,'Απόδοση Εγκατάστασης'!$J$2,'Απόδοση Εγκατάστασης'!$J$3)</f>
        <v>996.79797162313537</v>
      </c>
      <c r="Q37" s="209">
        <f t="shared" si="7"/>
        <v>18083.571418843218</v>
      </c>
      <c r="R37" s="209">
        <f>PV_CF_FromCoincidenceChange('Απόδοση Εγκατάστασης'!$C$8:$C$19,'Απόδοση Εγκατάστασης'!$D$8:$D$19,'Απόδοση Εγκατάστασης'!$E$8:$E$19,$A$19,$I37,$B$7,'Απόδοση Εγκατάστασης'!$C$21,'Απόδοση Εγκατάστασης'!$J$2,'Απόδοση Εγκατάστασης'!$J$3)</f>
        <v>1015.9961542131459</v>
      </c>
      <c r="S37" s="209">
        <f t="shared" si="8"/>
        <v>18607.662289342679</v>
      </c>
      <c r="T37" s="209">
        <f>PV_CF_FromCoincidenceChange('Απόδοση Εγκατάστασης'!$C$8:$C$19,'Απόδοση Εγκατάστασης'!$D$8:$D$19,'Απόδοση Εγκατάστασης'!$E$8:$E$19,$A$20,$I37,$B$7,'Απόδοση Εγκατάστασης'!$C$21,'Απόδοση Εγκατάστασης'!$J$2,'Απόδοση Εγκατάστασης'!$J$3)</f>
        <v>1035.1943368031566</v>
      </c>
      <c r="U37" s="209">
        <f t="shared" si="9"/>
        <v>19131.753159842148</v>
      </c>
      <c r="V37" s="209">
        <f>PV_CF_FromCoincidenceChange('Απόδοση Εγκατάστασης'!$C$8:$C$19,'Απόδοση Εγκατάστασης'!$D$8:$D$19,'Απόδοση Εγκατάστασης'!$E$8:$E$19,$A$21,$I37,$B$7,'Απόδοση Εγκατάστασης'!$C$21,'Απόδοση Εγκατάστασης'!$J$2,'Απόδοση Εγκατάστασης'!$J$3)</f>
        <v>1054.3925193931675</v>
      </c>
      <c r="W37" s="209">
        <f t="shared" si="10"/>
        <v>19655.844030341614</v>
      </c>
      <c r="X37" s="209">
        <f>PV_CF_FromCoincidenceChange('Απόδοση Εγκατάστασης'!$C$8:$C$19,'Απόδοση Εγκατάστασης'!$D$8:$D$19,'Απόδοση Εγκατάστασης'!$E$8:$E$19,$A$22,$I37,$B$7,'Απόδοση Εγκατάστασης'!$C$21,'Απόδοση Εγκατάστασης'!$J$2,'Απόδοση Εγκατάστασης'!$J$3)</f>
        <v>1073.590701983178</v>
      </c>
      <c r="Y37" s="209">
        <f t="shared" si="11"/>
        <v>20179.934900841072</v>
      </c>
      <c r="Z37" s="209">
        <f>PV_CF_FromCoincidenceChange('Απόδοση Εγκατάστασης'!$C$8:$C$19,'Απόδοση Εγκατάστασης'!$D$8:$D$19,'Απόδοση Εγκατάστασης'!$E$8:$E$19,$A$23,$I37,$B$7,'Απόδοση Εγκατάστασης'!$C$21,'Απόδοση Εγκατάστασης'!$J$2,'Απόδοση Εγκατάστασης'!$J$3)</f>
        <v>1092.7888845731889</v>
      </c>
      <c r="AA37" s="209">
        <f t="shared" si="12"/>
        <v>20704.025771340541</v>
      </c>
      <c r="AB37" s="209">
        <f>PV_CF_FromCoincidenceChange('Απόδοση Εγκατάστασης'!$C$8:$C$19,'Απόδοση Εγκατάστασης'!$D$8:$D$19,'Απόδοση Εγκατάστασης'!$E$8:$E$19,$A$24,$I37,$B$7,'Απόδοση Εγκατάστασης'!$C$21,'Απόδοση Εγκατάστασης'!$J$2,'Απόδοση Εγκατάστασης'!$J$3)</f>
        <v>1108.5911622239289</v>
      </c>
      <c r="AC37" s="209">
        <f t="shared" si="13"/>
        <v>21135.411888803537</v>
      </c>
      <c r="AD37" s="209">
        <f>PV_CF_FromCoincidenceChange('Απόδοση Εγκατάστασης'!$C$8:$C$19,'Απόδοση Εγκατάστασης'!$D$8:$D$19,'Απόδοση Εγκατάστασης'!$E$8:$E$19,$A$25,$I37,$B$7,'Απόδοση Εγκατάστασης'!$C$21,'Απόδοση Εγκατάστασης'!$J$2,'Απόδοση Εγκατάστασης'!$J$3)</f>
        <v>1119.8655666223078</v>
      </c>
      <c r="AE37" s="209">
        <f t="shared" si="14"/>
        <v>21443.191668884592</v>
      </c>
    </row>
    <row r="38" spans="1:31" ht="22.15" customHeight="1" x14ac:dyDescent="0.25">
      <c r="A38" s="205"/>
      <c r="B38" s="205"/>
      <c r="C38" s="205"/>
      <c r="D38" s="205"/>
      <c r="E38" s="205"/>
      <c r="F38" s="205"/>
      <c r="G38" s="205"/>
      <c r="H38" s="205"/>
      <c r="I38" s="222">
        <v>23</v>
      </c>
      <c r="J38" s="209">
        <f>PV_CF_FromCoincidenceChange('Απόδοση Εγκατάστασης'!$C$8:$C$19,'Απόδοση Εγκατάστασης'!$D$8:$D$19,'Απόδοση Εγκατάστασης'!$E$8:$E$19,$A$15,$I38,$B$7,'Απόδοση Εγκατάστασης'!$C$21,'Απόδοση Εγκατάστασης'!$J$2,'Απόδοση Εγκατάστασης'!$J$3)</f>
        <v>920.78767044421863</v>
      </c>
      <c r="K38" s="209">
        <f t="shared" si="4"/>
        <v>17432.086477789038</v>
      </c>
      <c r="L38" s="209">
        <f>PV_CF_FromCoincidenceChange('Απόδοση Εγκατάστασης'!$C$8:$C$19,'Απόδοση Εγκατάστασης'!$D$8:$D$19,'Απόδοση Εγκατάστασης'!$E$8:$E$19,$A$16,$I38,$B$7,'Απόδοση Εγκατάστασης'!$C$21,'Απόδοση Εγκατάστασης'!$J$2,'Απόδοση Εγκατάστασης'!$J$3)</f>
        <v>939.60941808148402</v>
      </c>
      <c r="M38" s="209">
        <f t="shared" si="5"/>
        <v>17974.99909592577</v>
      </c>
      <c r="N38" s="209">
        <f>PV_CF_FromCoincidenceChange('Απόδοση Εγκατάστασης'!$C$8:$C$19,'Απόδοση Εγκατάστασης'!$D$8:$D$19,'Απόδοση Εγκατάστασης'!$E$8:$E$19,$A$17,$I38,$B$7,'Απόδοση Εγκατάστασης'!$C$21,'Απόδοση Εγκατάστασης'!$J$2,'Απόδοση Εγκατάστασης'!$J$3)</f>
        <v>958.43116571874953</v>
      </c>
      <c r="O38" s="209">
        <f t="shared" si="6"/>
        <v>18517.911714062502</v>
      </c>
      <c r="P38" s="209">
        <f>PV_CF_FromCoincidenceChange('Απόδοση Εγκατάστασης'!$C$8:$C$19,'Απόδοση Εγκατάστασης'!$D$8:$D$19,'Απόδοση Εγκατάστασης'!$E$8:$E$19,$A$18,$I38,$B$7,'Απόδοση Εγκατάστασης'!$C$21,'Απόδοση Εγκατάστασης'!$J$2,'Απόδοση Εγκατάστασης'!$J$3)</f>
        <v>977.25291335601491</v>
      </c>
      <c r="Q38" s="209">
        <f t="shared" si="7"/>
        <v>19060.824332199234</v>
      </c>
      <c r="R38" s="209">
        <f>PV_CF_FromCoincidenceChange('Απόδοση Εγκατάστασης'!$C$8:$C$19,'Απόδοση Εγκατάστασης'!$D$8:$D$19,'Απόδοση Εγκατάστασης'!$E$8:$E$19,$A$19,$I38,$B$7,'Απόδοση Εγκατάστασης'!$C$21,'Απόδοση Εγκατάστασης'!$J$2,'Απόδοση Εγκατάστασης'!$J$3)</f>
        <v>996.07466099328019</v>
      </c>
      <c r="S38" s="209">
        <f t="shared" si="8"/>
        <v>19603.736950335959</v>
      </c>
      <c r="T38" s="209">
        <f>PV_CF_FromCoincidenceChange('Απόδοση Εγκατάστασης'!$C$8:$C$19,'Απόδοση Εγκατάστασης'!$D$8:$D$19,'Απόδοση Εγκατάστασης'!$E$8:$E$19,$A$20,$I38,$B$7,'Απόδοση Εγκατάστασης'!$C$21,'Απόδοση Εγκατάστασης'!$J$2,'Απόδοση Εγκατάστασης'!$J$3)</f>
        <v>1014.8964086305457</v>
      </c>
      <c r="U38" s="209">
        <f t="shared" si="9"/>
        <v>20146.649568472694</v>
      </c>
      <c r="V38" s="209">
        <f>PV_CF_FromCoincidenceChange('Απόδοση Εγκατάστασης'!$C$8:$C$19,'Απόδοση Εγκατάστασης'!$D$8:$D$19,'Απόδοση Εγκατάστασης'!$E$8:$E$19,$A$21,$I38,$B$7,'Απόδοση Εγκατάστασης'!$C$21,'Απόδοση Εγκατάστασης'!$J$2,'Απόδοση Εγκατάστασης'!$J$3)</f>
        <v>1033.7181562678111</v>
      </c>
      <c r="W38" s="209">
        <f t="shared" si="10"/>
        <v>20689.562186609426</v>
      </c>
      <c r="X38" s="209">
        <f>PV_CF_FromCoincidenceChange('Απόδοση Εγκατάστασης'!$C$8:$C$19,'Απόδοση Εγκατάστασης'!$D$8:$D$19,'Απόδοση Εγκατάστασης'!$E$8:$E$19,$A$22,$I38,$B$7,'Απόδοση Εγκατάστασης'!$C$21,'Απόδοση Εγκατάστασης'!$J$2,'Απόδοση Εγκατάστασης'!$J$3)</f>
        <v>1052.5399039050765</v>
      </c>
      <c r="Y38" s="209">
        <f t="shared" si="11"/>
        <v>21232.474804746147</v>
      </c>
      <c r="Z38" s="209">
        <f>PV_CF_FromCoincidenceChange('Απόδοση Εγκατάστασης'!$C$8:$C$19,'Απόδοση Εγκατάστασης'!$D$8:$D$19,'Απόδοση Εγκατάστασης'!$E$8:$E$19,$A$23,$I38,$B$7,'Απόδοση Εγκατάστασης'!$C$21,'Απόδοση Εγκατάστασης'!$J$2,'Απόδοση Εγκατάστασης'!$J$3)</f>
        <v>1071.3616515423419</v>
      </c>
      <c r="AA38" s="209">
        <f t="shared" si="12"/>
        <v>21775.387422882883</v>
      </c>
      <c r="AB38" s="209">
        <f>PV_CF_FromCoincidenceChange('Απόδοση Εγκατάστασης'!$C$8:$C$19,'Απόδοση Εγκατάστασης'!$D$8:$D$19,'Απόδοση Εγκατάστασης'!$E$8:$E$19,$A$24,$I38,$B$7,'Απόδοση Εγκατάστασης'!$C$21,'Απόδοση Εγκατάστασης'!$J$2,'Απόδοση Εγκατάστασης'!$J$3)</f>
        <v>1086.8540806116948</v>
      </c>
      <c r="AC38" s="209">
        <f t="shared" si="13"/>
        <v>22222.265969415232</v>
      </c>
      <c r="AD38" s="209">
        <f>PV_CF_FromCoincidenceChange('Απόδοση Εγκατάστασης'!$C$8:$C$19,'Απόδοση Εγκατάστασης'!$D$8:$D$19,'Απόδοση Εγκατάστασης'!$E$8:$E$19,$A$25,$I38,$B$7,'Απόδοση Εγκατάστασης'!$C$21,'Απόδοση Εγκατάστασης'!$J$2,'Απόδοση Εγκατάστασης'!$J$3)</f>
        <v>1097.9074182571644</v>
      </c>
      <c r="AE38" s="209">
        <f t="shared" si="14"/>
        <v>22541.099087141756</v>
      </c>
    </row>
    <row r="39" spans="1:31" ht="22.15" customHeight="1" x14ac:dyDescent="0.25">
      <c r="A39" s="205"/>
      <c r="B39" s="205"/>
      <c r="C39" s="205"/>
      <c r="D39" s="205"/>
      <c r="E39" s="205"/>
      <c r="F39" s="205"/>
      <c r="G39" s="205"/>
      <c r="H39" s="205"/>
      <c r="I39" s="222">
        <v>24</v>
      </c>
      <c r="J39" s="209">
        <f>PV_CF_FromCoincidenceChange('Απόδοση Εγκατάστασης'!$C$8:$C$19,'Απόδοση Εγκατάστασης'!$D$8:$D$19,'Απόδοση Εγκατάστασης'!$E$8:$E$19,$A$15,$I39,$B$7,'Απόδοση Εγκατάστασης'!$C$21,'Απόδοση Εγκατάστασης'!$J$2,'Απόδοση Εγκατάστασης'!$J$3)</f>
        <v>902.73301023942997</v>
      </c>
      <c r="K39" s="209">
        <f t="shared" si="4"/>
        <v>18334.819488028468</v>
      </c>
      <c r="L39" s="209">
        <f>PV_CF_FromCoincidenceChange('Απόδοση Εγκατάστασης'!$C$8:$C$19,'Απόδοση Εγκατάστασης'!$D$8:$D$19,'Απόδοση Εγκατάστασης'!$E$8:$E$19,$A$16,$I39,$B$7,'Απόδοση Εγκατάστασης'!$C$21,'Απόδοση Εγκατάστασης'!$J$2,'Απόδοση Εγκατάστασης'!$J$3)</f>
        <v>921.18570400145495</v>
      </c>
      <c r="M39" s="209">
        <f t="shared" si="5"/>
        <v>18896.184799927225</v>
      </c>
      <c r="N39" s="209">
        <f>PV_CF_FromCoincidenceChange('Απόδοση Εγκατάστασης'!$C$8:$C$19,'Απόδοση Εγκατάστασης'!$D$8:$D$19,'Απόδοση Εγκατάστασης'!$E$8:$E$19,$A$17,$I39,$B$7,'Απόδοση Εγκατάστασης'!$C$21,'Απόδοση Εγκατάστασης'!$J$2,'Απόδοση Εγκατάστασης'!$J$3)</f>
        <v>939.63839776347993</v>
      </c>
      <c r="O39" s="209">
        <f t="shared" si="6"/>
        <v>19457.550111825982</v>
      </c>
      <c r="P39" s="209">
        <f>PV_CF_FromCoincidenceChange('Απόδοση Εγκατάστασης'!$C$8:$C$19,'Απόδοση Εγκατάστασης'!$D$8:$D$19,'Απόδοση Εγκατάστασης'!$E$8:$E$19,$A$18,$I39,$B$7,'Απόδοση Εγκατάστασης'!$C$21,'Απόδοση Εγκατάστασης'!$J$2,'Απόδοση Εγκατάστασης'!$J$3)</f>
        <v>958.09109152550479</v>
      </c>
      <c r="Q39" s="209">
        <f t="shared" si="7"/>
        <v>20018.915423724739</v>
      </c>
      <c r="R39" s="209">
        <f>PV_CF_FromCoincidenceChange('Απόδοση Εγκατάστασης'!$C$8:$C$19,'Απόδοση Εγκατάστασης'!$D$8:$D$19,'Απόδοση Εγκατάστασης'!$E$8:$E$19,$A$19,$I39,$B$7,'Απόδοση Εγκατάστασης'!$C$21,'Απόδοση Εγκατάστασης'!$J$2,'Απόδοση Εγκατάστασης'!$J$3)</f>
        <v>976.54378528752966</v>
      </c>
      <c r="S39" s="209">
        <f t="shared" si="8"/>
        <v>20580.280735623488</v>
      </c>
      <c r="T39" s="209">
        <f>PV_CF_FromCoincidenceChange('Απόδοση Εγκατάστασης'!$C$8:$C$19,'Απόδοση Εγκατάστασης'!$D$8:$D$19,'Απόδοση Εγκατάστασης'!$E$8:$E$19,$A$20,$I39,$B$7,'Απόδοση Εγκατάστασης'!$C$21,'Απόδοση Εγκατάστασης'!$J$2,'Απόδοση Εγκατάστασης'!$J$3)</f>
        <v>994.99647904955452</v>
      </c>
      <c r="U39" s="209">
        <f t="shared" si="9"/>
        <v>21141.646047522248</v>
      </c>
      <c r="V39" s="209">
        <f>PV_CF_FromCoincidenceChange('Απόδοση Εγκατάστασης'!$C$8:$C$19,'Απόδοση Εγκατάστασης'!$D$8:$D$19,'Απόδοση Εγκατάστασης'!$E$8:$E$19,$A$21,$I39,$B$7,'Απόδοση Εγκατάστασης'!$C$21,'Απόδοση Εγκατάστασης'!$J$2,'Απόδοση Εγκατάστασης'!$J$3)</f>
        <v>1013.4491728115795</v>
      </c>
      <c r="W39" s="209">
        <f t="shared" si="10"/>
        <v>21703.011359421005</v>
      </c>
      <c r="X39" s="209">
        <f>PV_CF_FromCoincidenceChange('Απόδοση Εγκατάστασης'!$C$8:$C$19,'Απόδοση Εγκατάστασης'!$D$8:$D$19,'Απόδοση Εγκατάστασης'!$E$8:$E$19,$A$22,$I39,$B$7,'Απόδοση Εγκατάστασης'!$C$21,'Απόδοση Εγκατάστασης'!$J$2,'Απόδοση Εγκατάστασης'!$J$3)</f>
        <v>1031.9018665736044</v>
      </c>
      <c r="Y39" s="209">
        <f t="shared" si="11"/>
        <v>22264.376671319751</v>
      </c>
      <c r="Z39" s="209">
        <f>PV_CF_FromCoincidenceChange('Απόδοση Εγκατάστασης'!$C$8:$C$19,'Απόδοση Εγκατάστασης'!$D$8:$D$19,'Απόδοση Εγκατάστασης'!$E$8:$E$19,$A$23,$I39,$B$7,'Απόδοση Εγκατάστασης'!$C$21,'Απόδοση Εγκατάστασης'!$J$2,'Απόδοση Εγκατάστασης'!$J$3)</f>
        <v>1050.3545603356292</v>
      </c>
      <c r="AA39" s="209">
        <f t="shared" si="12"/>
        <v>22825.741983218511</v>
      </c>
      <c r="AB39" s="209">
        <f>PV_CF_FromCoincidenceChange('Απόδοση Εγκατάστασης'!$C$8:$C$19,'Απόδοση Εγκατάστασης'!$D$8:$D$19,'Απόδοση Εγκατάστασης'!$E$8:$E$19,$A$24,$I39,$B$7,'Απόδοση Εγκατάστασης'!$C$21,'Απόδοση Εγκατάστασης'!$J$2,'Απόδοση Εγκατάστασης'!$J$3)</f>
        <v>1065.5432162859752</v>
      </c>
      <c r="AC39" s="209">
        <f t="shared" si="13"/>
        <v>23287.809185701208</v>
      </c>
      <c r="AD39" s="209">
        <f>PV_CF_FromCoincidenceChange('Απόδοση Εγκατάστασης'!$C$8:$C$19,'Απόδοση Εγκατάστασης'!$D$8:$D$19,'Απόδοση Εγκατάστασης'!$E$8:$E$19,$A$25,$I39,$B$7,'Απόδοση Εγκατάστασης'!$C$21,'Απόδοση Εγκατάστασης'!$J$2,'Απόδοση Εγκατάστασης'!$J$3)</f>
        <v>1076.3798218207494</v>
      </c>
      <c r="AE39" s="209">
        <f t="shared" si="14"/>
        <v>23617.478908962505</v>
      </c>
    </row>
    <row r="40" spans="1:31" ht="22.15" customHeight="1" x14ac:dyDescent="0.25">
      <c r="A40" s="205"/>
      <c r="B40" s="205"/>
      <c r="C40" s="205"/>
      <c r="D40" s="205"/>
      <c r="E40" s="205"/>
      <c r="F40" s="205"/>
      <c r="G40" s="205"/>
      <c r="H40" s="205"/>
      <c r="I40" s="222">
        <v>25</v>
      </c>
      <c r="J40" s="209">
        <f>PV_CF_FromCoincidenceChange('Απόδοση Εγκατάστασης'!$C$8:$C$19,'Απόδοση Εγκατάστασης'!$D$8:$D$19,'Απόδοση Εγκατάστασης'!$E$8:$E$19,$A$15,$I40,$B$7,'Απόδοση Εγκατάστασης'!$C$21,'Απόδοση Εγκατάστασης'!$J$2,'Απόδοση Εγκατάστασης'!$J$3)</f>
        <v>885.03236297983335</v>
      </c>
      <c r="K40" s="209">
        <f t="shared" si="4"/>
        <v>19219.851851008301</v>
      </c>
      <c r="L40" s="209">
        <f>PV_CF_FromCoincidenceChange('Απόδοση Εγκατάστασης'!$C$8:$C$19,'Απόδοση Εγκατάστασης'!$D$8:$D$19,'Απόδοση Εγκατάστασης'!$E$8:$E$19,$A$16,$I40,$B$7,'Απόδοση Εγκατάστασης'!$C$21,'Απόδοση Εγκατάστασης'!$J$2,'Απόδοση Εγκατάστασης'!$J$3)</f>
        <v>903.12323921711265</v>
      </c>
      <c r="M40" s="209">
        <f t="shared" si="5"/>
        <v>19799.308039144336</v>
      </c>
      <c r="N40" s="209">
        <f>PV_CF_FromCoincidenceChange('Απόδοση Εγκατάστασης'!$C$8:$C$19,'Απόδοση Εγκατάστασης'!$D$8:$D$19,'Απόδοση Εγκατάστασης'!$E$8:$E$19,$A$17,$I40,$B$7,'Απόδοση Εγκατάστασης'!$C$21,'Απόδοση Εγκατάστασης'!$J$2,'Απόδοση Εγκατάστασης'!$J$3)</f>
        <v>921.21411545439207</v>
      </c>
      <c r="O40" s="209">
        <f t="shared" si="6"/>
        <v>20378.764227280375</v>
      </c>
      <c r="P40" s="209">
        <f>PV_CF_FromCoincidenceChange('Απόδοση Εγκατάστασης'!$C$8:$C$19,'Απόδοση Εγκατάστασης'!$D$8:$D$19,'Απόδοση Εγκατάστασης'!$E$8:$E$19,$A$18,$I40,$B$7,'Απόδοση Εγκατάστασης'!$C$21,'Απόδοση Εγκατάστασης'!$J$2,'Απόδοση Εγκατάστασης'!$J$3)</f>
        <v>939.30499169167138</v>
      </c>
      <c r="Q40" s="209">
        <f t="shared" si="7"/>
        <v>20958.22041541641</v>
      </c>
      <c r="R40" s="209">
        <f>PV_CF_FromCoincidenceChange('Απόδοση Εγκατάστασης'!$C$8:$C$19,'Απόδοση Εγκατάστασης'!$D$8:$D$19,'Απόδοση Εγκατάστασης'!$E$8:$E$19,$A$19,$I40,$B$7,'Απόδοση Εγκατάστασης'!$C$21,'Απόδοση Εγκατάστασης'!$J$2,'Απόδοση Εγκατάστασης'!$J$3)</f>
        <v>957.39586792895057</v>
      </c>
      <c r="S40" s="209">
        <f t="shared" si="8"/>
        <v>21537.676603552438</v>
      </c>
      <c r="T40" s="209">
        <f>PV_CF_FromCoincidenceChange('Απόδοση Εγκατάστασης'!$C$8:$C$19,'Απόδοση Εγκατάστασης'!$D$8:$D$19,'Απόδοση Εγκατάστασης'!$E$8:$E$19,$A$20,$I40,$B$7,'Απόδοση Εγκατάστασης'!$C$21,'Απόδοση Εγκατάστασης'!$J$2,'Απόδοση Εγκατάστασης'!$J$3)</f>
        <v>975.48674416622998</v>
      </c>
      <c r="U40" s="209">
        <f t="shared" si="9"/>
        <v>22117.132791688477</v>
      </c>
      <c r="V40" s="209">
        <f>PV_CF_FromCoincidenceChange('Απόδοση Εγκατάστασης'!$C$8:$C$19,'Απόδοση Εγκατάστασης'!$D$8:$D$19,'Απόδοση Εγκατάστασης'!$E$8:$E$19,$A$21,$I40,$B$7,'Απόδοση Εγκατάστασης'!$C$21,'Απόδοση Εγκατάστασης'!$J$2,'Απόδοση Εγκατάστασης'!$J$3)</f>
        <v>993.57762040350929</v>
      </c>
      <c r="W40" s="209">
        <f t="shared" si="10"/>
        <v>22696.588979824515</v>
      </c>
      <c r="X40" s="209">
        <f>PV_CF_FromCoincidenceChange('Απόδοση Εγκατάστασης'!$C$8:$C$19,'Απόδοση Εγκατάστασης'!$D$8:$D$19,'Απόδοση Εγκατάστασης'!$E$8:$E$19,$A$22,$I40,$B$7,'Απόδοση Εγκατάστασης'!$C$21,'Απόδοση Εγκατάστασης'!$J$2,'Απόδοση Εγκατάστασης'!$J$3)</f>
        <v>1011.6684966407886</v>
      </c>
      <c r="Y40" s="209">
        <f t="shared" si="11"/>
        <v>23276.045167960539</v>
      </c>
      <c r="Z40" s="209">
        <f>PV_CF_FromCoincidenceChange('Απόδοση Εγκατάστασης'!$C$8:$C$19,'Απόδοση Εγκατάστασης'!$D$8:$D$19,'Απόδοση Εγκατάστασης'!$E$8:$E$19,$A$23,$I40,$B$7,'Απόδοση Εγκατάστασης'!$C$21,'Απόδοση Εγκατάστασης'!$J$2,'Απόδοση Εγκατάστασης'!$J$3)</f>
        <v>1029.759372878068</v>
      </c>
      <c r="AA40" s="209">
        <f t="shared" si="12"/>
        <v>23855.501356096578</v>
      </c>
      <c r="AB40" s="209">
        <f>PV_CF_FromCoincidenceChange('Απόδοση Εγκατάστασης'!$C$8:$C$19,'Απόδοση Εγκατάστασης'!$D$8:$D$19,'Απόδοση Εγκατάστασης'!$E$8:$E$19,$A$24,$I40,$B$7,'Απόδοση Εγκατάστασης'!$C$21,'Απόδοση Εγκατάστασης'!$J$2,'Απόδοση Εγκατάστασης'!$J$3)</f>
        <v>1044.6502120450739</v>
      </c>
      <c r="AC40" s="209">
        <f t="shared" si="13"/>
        <v>24332.459397746283</v>
      </c>
      <c r="AD40" s="209">
        <f>PV_CF_FromCoincidenceChange('Απόδοση Εγκατάστασης'!$C$8:$C$19,'Απόδοση Εγκατάστασης'!$D$8:$D$19,'Απόδοση Εγκατάστασης'!$E$8:$E$19,$A$25,$I40,$B$7,'Απόδοση Εγκατάστασης'!$C$21,'Απόδοση Εγκατάστασης'!$J$2,'Απόδοση Εγκατάστασης'!$J$3)</f>
        <v>1055.2743351183817</v>
      </c>
      <c r="AE40" s="209">
        <f t="shared" si="14"/>
        <v>24672.753244080886</v>
      </c>
    </row>
    <row r="41" spans="1:31" ht="22.15" customHeight="1" x14ac:dyDescent="0.25">
      <c r="A41" s="205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</row>
    <row r="42" spans="1:31" ht="22.15" customHeight="1" x14ac:dyDescent="0.25">
      <c r="A42" s="205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</row>
    <row r="43" spans="1:31" ht="22.15" customHeight="1" x14ac:dyDescent="0.25">
      <c r="A43" s="205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</row>
    <row r="44" spans="1:31" ht="22.15" customHeight="1" x14ac:dyDescent="0.25">
      <c r="A44" s="205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</row>
    <row r="45" spans="1:31" ht="22.15" customHeight="1" x14ac:dyDescent="0.25">
      <c r="A45" s="205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</row>
    <row r="46" spans="1:31" ht="22.15" customHeight="1" x14ac:dyDescent="0.25">
      <c r="A46" s="205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</row>
    <row r="47" spans="1:31" ht="22.15" customHeight="1" x14ac:dyDescent="0.25">
      <c r="A47" s="205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</row>
    <row r="48" spans="1:31" ht="22.15" customHeight="1" x14ac:dyDescent="0.25">
      <c r="A48" s="205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</row>
    <row r="49" spans="1:31" ht="22.15" customHeight="1" x14ac:dyDescent="0.25">
      <c r="A49" s="205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5"/>
      <c r="AE49" s="205"/>
    </row>
    <row r="50" spans="1:31" ht="22.15" customHeight="1" x14ac:dyDescent="0.25">
      <c r="A50" s="205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5"/>
    </row>
    <row r="51" spans="1:31" ht="22.15" customHeight="1" x14ac:dyDescent="0.25">
      <c r="A51" s="205"/>
      <c r="B51" s="205"/>
      <c r="C51" s="20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</row>
    <row r="52" spans="1:31" ht="22.15" customHeight="1" x14ac:dyDescent="0.25">
      <c r="A52" s="205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</row>
    <row r="53" spans="1:31" ht="22.15" customHeight="1" x14ac:dyDescent="0.25">
      <c r="A53" s="205"/>
      <c r="B53" s="205"/>
      <c r="C53" s="20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</row>
    <row r="54" spans="1:31" ht="22.15" customHeight="1" x14ac:dyDescent="0.25">
      <c r="A54" s="205"/>
      <c r="B54" s="205"/>
      <c r="C54" s="20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</row>
    <row r="55" spans="1:31" ht="22.15" customHeight="1" x14ac:dyDescent="0.25">
      <c r="A55" s="205"/>
      <c r="B55" s="205"/>
      <c r="C55" s="20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</row>
    <row r="56" spans="1:31" ht="22.15" customHeight="1" x14ac:dyDescent="0.25">
      <c r="A56" s="205"/>
      <c r="B56" s="205"/>
      <c r="C56" s="20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</row>
    <row r="57" spans="1:31" ht="22.15" customHeight="1" x14ac:dyDescent="0.25">
      <c r="A57" s="205"/>
      <c r="B57" s="205"/>
      <c r="C57" s="20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</row>
    <row r="58" spans="1:31" ht="22.15" customHeight="1" x14ac:dyDescent="0.25">
      <c r="A58" s="205"/>
      <c r="B58" s="205"/>
      <c r="C58" s="205"/>
      <c r="D58" s="205"/>
      <c r="E58" s="205"/>
      <c r="F58" s="205"/>
      <c r="G58" s="205"/>
      <c r="H58" s="205"/>
      <c r="I58" s="205"/>
      <c r="J58" s="205"/>
      <c r="K58" s="205"/>
      <c r="L58" s="205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/>
      <c r="AC58" s="205"/>
      <c r="AD58" s="205"/>
      <c r="AE58" s="205"/>
    </row>
    <row r="59" spans="1:31" ht="22.15" customHeight="1" x14ac:dyDescent="0.25">
      <c r="A59" s="205"/>
      <c r="B59" s="205"/>
      <c r="C59" s="205"/>
      <c r="D59" s="205"/>
      <c r="E59" s="205"/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/>
      <c r="AC59" s="205"/>
      <c r="AD59" s="205"/>
      <c r="AE59" s="205"/>
    </row>
    <row r="60" spans="1:31" ht="22.15" customHeight="1" x14ac:dyDescent="0.25">
      <c r="A60" s="205"/>
      <c r="B60" s="205"/>
      <c r="C60" s="205"/>
      <c r="D60" s="205"/>
      <c r="E60" s="205"/>
      <c r="F60" s="205"/>
      <c r="G60" s="205"/>
      <c r="H60" s="205"/>
      <c r="I60" s="205"/>
      <c r="J60" s="205"/>
      <c r="K60" s="205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/>
      <c r="AC60" s="205"/>
      <c r="AD60" s="205"/>
      <c r="AE60" s="205"/>
    </row>
    <row r="61" spans="1:31" x14ac:dyDescent="0.25">
      <c r="A61" s="205"/>
      <c r="B61" s="205"/>
      <c r="C61" s="205"/>
      <c r="D61" s="205"/>
      <c r="E61" s="205"/>
      <c r="F61" s="205"/>
      <c r="G61" s="205"/>
      <c r="H61" s="205"/>
      <c r="I61" s="205"/>
      <c r="J61" s="205"/>
      <c r="K61" s="205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</row>
    <row r="62" spans="1:31" x14ac:dyDescent="0.25">
      <c r="A62" s="205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</row>
    <row r="63" spans="1:31" x14ac:dyDescent="0.25">
      <c r="A63" s="205"/>
      <c r="B63" s="205"/>
      <c r="C63" s="205"/>
      <c r="D63" s="205"/>
      <c r="E63" s="205"/>
      <c r="F63" s="205"/>
      <c r="G63" s="205"/>
      <c r="H63" s="205"/>
      <c r="I63" s="205"/>
      <c r="J63" s="205"/>
      <c r="K63" s="205"/>
      <c r="L63" s="205"/>
      <c r="M63" s="205"/>
      <c r="N63" s="205"/>
      <c r="O63" s="205"/>
      <c r="P63" s="205"/>
      <c r="Q63" s="205"/>
      <c r="R63" s="205"/>
      <c r="S63" s="205"/>
      <c r="T63" s="205"/>
      <c r="U63" s="205"/>
      <c r="V63" s="205"/>
      <c r="W63" s="205"/>
      <c r="X63" s="205"/>
      <c r="Y63" s="205"/>
      <c r="Z63" s="205"/>
      <c r="AA63" s="205"/>
      <c r="AB63" s="205"/>
      <c r="AC63" s="205"/>
      <c r="AD63" s="205"/>
      <c r="AE63" s="205"/>
    </row>
    <row r="64" spans="1:31" x14ac:dyDescent="0.25">
      <c r="A64" s="205"/>
      <c r="B64" s="205"/>
      <c r="C64" s="205"/>
      <c r="D64" s="205"/>
      <c r="E64" s="205"/>
      <c r="F64" s="205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5"/>
      <c r="AE64" s="205"/>
    </row>
    <row r="65" spans="1:31" x14ac:dyDescent="0.25">
      <c r="A65" s="205"/>
      <c r="B65" s="205"/>
      <c r="C65" s="205"/>
      <c r="D65" s="205"/>
      <c r="E65" s="205"/>
      <c r="F65" s="205"/>
      <c r="G65" s="205"/>
      <c r="H65" s="205"/>
      <c r="I65" s="205"/>
      <c r="J65" s="205"/>
      <c r="K65" s="205"/>
      <c r="L65" s="205"/>
      <c r="M65" s="205"/>
      <c r="N65" s="205"/>
      <c r="O65" s="205"/>
      <c r="P65" s="205"/>
      <c r="Q65" s="205"/>
      <c r="R65" s="205"/>
      <c r="S65" s="205"/>
      <c r="T65" s="205"/>
      <c r="U65" s="205"/>
      <c r="V65" s="205"/>
      <c r="W65" s="205"/>
      <c r="X65" s="205"/>
      <c r="Y65" s="205"/>
      <c r="Z65" s="205"/>
      <c r="AA65" s="205"/>
      <c r="AB65" s="205"/>
      <c r="AC65" s="205"/>
      <c r="AD65" s="205"/>
      <c r="AE65" s="205"/>
    </row>
    <row r="66" spans="1:31" x14ac:dyDescent="0.25">
      <c r="A66" s="205"/>
      <c r="B66" s="205"/>
      <c r="C66" s="205"/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5"/>
      <c r="P66" s="205"/>
      <c r="Q66" s="205"/>
      <c r="R66" s="205"/>
      <c r="S66" s="205"/>
      <c r="T66" s="205"/>
      <c r="U66" s="205"/>
      <c r="V66" s="205"/>
      <c r="W66" s="205"/>
      <c r="X66" s="205"/>
      <c r="Y66" s="205"/>
      <c r="Z66" s="205"/>
      <c r="AA66" s="205"/>
      <c r="AB66" s="205"/>
      <c r="AC66" s="205"/>
      <c r="AD66" s="205"/>
      <c r="AE66" s="205"/>
    </row>
    <row r="67" spans="1:31" x14ac:dyDescent="0.25">
      <c r="A67" s="205"/>
      <c r="B67" s="205"/>
      <c r="C67" s="205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/>
      <c r="Z67" s="205"/>
      <c r="AA67" s="205"/>
      <c r="AB67" s="205"/>
      <c r="AC67" s="205"/>
      <c r="AD67" s="205"/>
      <c r="AE67" s="205"/>
    </row>
  </sheetData>
  <sheetProtection sheet="1" objects="1" scenarios="1"/>
  <mergeCells count="1">
    <mergeCell ref="A1:G1"/>
  </mergeCells>
  <pageMargins left="0.75" right="0.75" top="1" bottom="1" header="0.5" footer="0.5"/>
  <pageSetup paperSize="9" scale="26" fitToHeight="0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5">
    <pageSetUpPr fitToPage="1"/>
  </sheetPr>
  <dimension ref="A1:J44"/>
  <sheetViews>
    <sheetView showGridLines="0" topLeftCell="A17" zoomScale="60" zoomScaleNormal="60" workbookViewId="0">
      <selection activeCell="J40" sqref="J40"/>
    </sheetView>
  </sheetViews>
  <sheetFormatPr defaultRowHeight="15" x14ac:dyDescent="0.25"/>
  <cols>
    <col min="1" max="1" width="36" bestFit="1" customWidth="1"/>
    <col min="2" max="2" width="15.5703125" bestFit="1" customWidth="1"/>
    <col min="3" max="3" width="16.28515625" bestFit="1" customWidth="1"/>
    <col min="4" max="4" width="19.42578125" bestFit="1" customWidth="1"/>
    <col min="5" max="5" width="9.5703125" customWidth="1"/>
    <col min="6" max="6" width="9.5703125" bestFit="1" customWidth="1"/>
    <col min="7" max="7" width="14.7109375" customWidth="1"/>
    <col min="8" max="8" width="12.5703125" customWidth="1"/>
    <col min="9" max="9" width="9.7109375" bestFit="1" customWidth="1"/>
    <col min="10" max="10" width="38.5703125" customWidth="1"/>
    <col min="11" max="11" width="22.85546875" bestFit="1" customWidth="1"/>
    <col min="12" max="12" width="23.28515625" bestFit="1" customWidth="1"/>
    <col min="13" max="13" width="22.5703125" bestFit="1" customWidth="1"/>
    <col min="14" max="14" width="23.85546875" bestFit="1" customWidth="1"/>
    <col min="15" max="15" width="20.5703125" bestFit="1" customWidth="1"/>
    <col min="16" max="16" width="19.42578125" bestFit="1" customWidth="1"/>
    <col min="17" max="17" width="21.42578125" bestFit="1" customWidth="1"/>
    <col min="18" max="18" width="21.85546875" bestFit="1" customWidth="1"/>
    <col min="19" max="19" width="21.140625" bestFit="1" customWidth="1"/>
    <col min="20" max="20" width="22.140625" bestFit="1" customWidth="1"/>
    <col min="21" max="21" width="19" bestFit="1" customWidth="1"/>
    <col min="22" max="22" width="21" bestFit="1" customWidth="1"/>
    <col min="23" max="23" width="22.85546875" bestFit="1" customWidth="1"/>
    <col min="24" max="24" width="23.28515625" bestFit="1" customWidth="1"/>
    <col min="25" max="25" width="22.5703125" bestFit="1" customWidth="1"/>
    <col min="26" max="26" width="23.85546875" bestFit="1" customWidth="1"/>
    <col min="27" max="27" width="20.5703125" bestFit="1" customWidth="1"/>
    <col min="28" max="28" width="20.42578125" bestFit="1" customWidth="1"/>
    <col min="29" max="29" width="22.28515625" bestFit="1" customWidth="1"/>
    <col min="30" max="30" width="22.7109375" bestFit="1" customWidth="1"/>
    <col min="31" max="31" width="22" bestFit="1" customWidth="1"/>
    <col min="32" max="32" width="23.140625" bestFit="1" customWidth="1"/>
    <col min="33" max="33" width="20" bestFit="1" customWidth="1"/>
    <col min="34" max="34" width="13" customWidth="1"/>
    <col min="35" max="35" width="4.42578125" bestFit="1" customWidth="1"/>
    <col min="36" max="36" width="11.7109375" bestFit="1" customWidth="1"/>
    <col min="37" max="37" width="12.28515625" bestFit="1" customWidth="1"/>
    <col min="38" max="38" width="11.7109375" bestFit="1" customWidth="1"/>
    <col min="39" max="39" width="12.28515625" bestFit="1" customWidth="1"/>
    <col min="40" max="40" width="11.7109375" bestFit="1" customWidth="1"/>
    <col min="41" max="41" width="12.28515625" bestFit="1" customWidth="1"/>
    <col min="42" max="42" width="11.7109375" bestFit="1" customWidth="1"/>
    <col min="43" max="43" width="12.28515625" bestFit="1" customWidth="1"/>
    <col min="44" max="44" width="13" customWidth="1"/>
    <col min="59" max="59" width="21.5703125" bestFit="1" customWidth="1"/>
    <col min="60" max="60" width="20" bestFit="1" customWidth="1"/>
    <col min="61" max="61" width="21.5703125" bestFit="1" customWidth="1"/>
    <col min="62" max="62" width="21" bestFit="1" customWidth="1"/>
    <col min="63" max="63" width="18.5703125" bestFit="1" customWidth="1"/>
    <col min="64" max="64" width="20.5703125" bestFit="1" customWidth="1"/>
    <col min="65" max="65" width="21" bestFit="1" customWidth="1"/>
    <col min="66" max="66" width="20.28515625" bestFit="1" customWidth="1"/>
    <col min="67" max="67" width="21.42578125" bestFit="1" customWidth="1"/>
    <col min="68" max="68" width="18.140625" bestFit="1" customWidth="1"/>
    <col min="69" max="69" width="19.140625" bestFit="1" customWidth="1"/>
    <col min="70" max="70" width="19.5703125" bestFit="1" customWidth="1"/>
    <col min="71" max="71" width="22.85546875" bestFit="1" customWidth="1"/>
    <col min="72" max="72" width="11.7109375" bestFit="1" customWidth="1"/>
    <col min="73" max="73" width="14.42578125" bestFit="1" customWidth="1"/>
  </cols>
  <sheetData>
    <row r="1" spans="1:10" ht="27" customHeight="1" x14ac:dyDescent="0.25">
      <c r="A1" s="275" t="s">
        <v>165</v>
      </c>
      <c r="B1" s="276"/>
      <c r="C1" s="276"/>
      <c r="D1" s="276"/>
      <c r="E1" s="276"/>
      <c r="F1" s="276"/>
      <c r="G1" s="276"/>
      <c r="H1" s="276"/>
      <c r="I1" s="276"/>
      <c r="J1" s="15"/>
    </row>
    <row r="2" spans="1:10" ht="60" customHeight="1" x14ac:dyDescent="0.25">
      <c r="A2" s="277" t="s">
        <v>166</v>
      </c>
      <c r="B2" s="276"/>
      <c r="C2" s="276"/>
      <c r="D2" s="276"/>
      <c r="E2" s="276"/>
      <c r="F2" s="276"/>
      <c r="G2" s="276"/>
      <c r="H2" s="276"/>
      <c r="I2" s="276"/>
      <c r="J2" s="15"/>
    </row>
    <row r="3" spans="1:10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</row>
    <row r="4" spans="1:10" ht="28.5" customHeight="1" x14ac:dyDescent="0.25">
      <c r="A4" s="16" t="s">
        <v>53</v>
      </c>
      <c r="B4" s="16" t="s">
        <v>25</v>
      </c>
      <c r="C4" s="16" t="s">
        <v>26</v>
      </c>
      <c r="D4" s="17"/>
      <c r="E4" s="17"/>
      <c r="F4" s="17"/>
      <c r="G4" s="17"/>
      <c r="H4" s="17"/>
      <c r="I4" s="17"/>
      <c r="J4" s="15"/>
    </row>
    <row r="5" spans="1:10" x14ac:dyDescent="0.25">
      <c r="A5" s="19" t="s">
        <v>167</v>
      </c>
      <c r="B5" s="20">
        <f>'Σύνολική Τιμή ΦΒ'!$G$9/1000</f>
        <v>9.9</v>
      </c>
      <c r="C5" s="21" t="s">
        <v>28</v>
      </c>
      <c r="D5" s="15"/>
      <c r="E5" s="15"/>
      <c r="F5" s="15"/>
      <c r="G5" s="15"/>
      <c r="H5" s="15"/>
      <c r="I5" s="15"/>
      <c r="J5" s="15"/>
    </row>
    <row r="6" spans="1:10" x14ac:dyDescent="0.25">
      <c r="A6" s="19" t="s">
        <v>168</v>
      </c>
      <c r="B6" s="20">
        <f>IRR_DPP!$L$3</f>
        <v>9128</v>
      </c>
      <c r="C6" s="21" t="s">
        <v>38</v>
      </c>
      <c r="D6" s="15"/>
      <c r="E6" s="15"/>
      <c r="F6" s="15"/>
      <c r="G6" s="15"/>
      <c r="H6" s="15"/>
      <c r="I6" s="15"/>
      <c r="J6" s="15"/>
    </row>
    <row r="7" spans="1:10" x14ac:dyDescent="0.25">
      <c r="A7" s="19" t="s">
        <v>169</v>
      </c>
      <c r="B7" s="20">
        <f>$B$6/$B$5</f>
        <v>922.02020202020196</v>
      </c>
      <c r="C7" s="21" t="s">
        <v>42</v>
      </c>
      <c r="D7" s="15"/>
      <c r="E7" s="15"/>
      <c r="F7" s="15"/>
      <c r="G7" s="15"/>
      <c r="H7" s="15"/>
      <c r="I7" s="15"/>
      <c r="J7" s="15"/>
    </row>
    <row r="8" spans="1:10" x14ac:dyDescent="0.25">
      <c r="A8" s="19" t="s">
        <v>170</v>
      </c>
      <c r="B8" s="20">
        <f>'Απόδοση Εγκατάστασης'!$J$2</f>
        <v>0.2</v>
      </c>
      <c r="C8" s="21" t="s">
        <v>37</v>
      </c>
      <c r="D8" s="15"/>
      <c r="E8" s="15"/>
      <c r="F8" s="15"/>
      <c r="G8" s="15"/>
      <c r="H8" s="15"/>
      <c r="I8" s="15"/>
      <c r="J8" s="15"/>
    </row>
    <row r="9" spans="1:10" x14ac:dyDescent="0.25">
      <c r="A9" s="19" t="s">
        <v>171</v>
      </c>
      <c r="B9" s="20">
        <f>'Απόδοση Εγκατάστασης'!$J$3</f>
        <v>0.06</v>
      </c>
      <c r="C9" s="21" t="s">
        <v>37</v>
      </c>
      <c r="D9" s="15"/>
      <c r="E9" s="15"/>
      <c r="F9" s="15"/>
      <c r="G9" s="15"/>
      <c r="H9" s="15"/>
      <c r="I9" s="15"/>
      <c r="J9" s="15"/>
    </row>
    <row r="10" spans="1:10" x14ac:dyDescent="0.25">
      <c r="A10" s="19" t="s">
        <v>43</v>
      </c>
      <c r="B10" s="22">
        <f>IRR_DPP!$F$4</f>
        <v>0.02</v>
      </c>
      <c r="C10" s="21" t="s">
        <v>36</v>
      </c>
      <c r="D10" s="15"/>
      <c r="E10" s="15"/>
      <c r="F10" s="15"/>
      <c r="G10" s="15"/>
      <c r="H10" s="15"/>
      <c r="I10" s="15"/>
      <c r="J10" s="15"/>
    </row>
    <row r="11" spans="1:10" x14ac:dyDescent="0.25">
      <c r="A11" s="19" t="s">
        <v>172</v>
      </c>
      <c r="B11" s="20">
        <f>MAX(IRR_DPP!$A$4:$A$28)</f>
        <v>25</v>
      </c>
      <c r="C11" s="21" t="s">
        <v>40</v>
      </c>
      <c r="D11" s="15"/>
      <c r="E11" s="15"/>
      <c r="F11" s="15"/>
      <c r="G11" s="15"/>
      <c r="H11" s="15"/>
      <c r="I11" s="15"/>
      <c r="J11" s="15"/>
    </row>
    <row r="12" spans="1:10" x14ac:dyDescent="0.25">
      <c r="A12" s="19" t="s">
        <v>59</v>
      </c>
      <c r="B12" s="23">
        <f>ια_Υπολογισμοί_Σεναρίων!$B$4</f>
        <v>6.7869833666614614</v>
      </c>
      <c r="C12" s="21" t="s">
        <v>40</v>
      </c>
      <c r="D12" s="15"/>
      <c r="E12" s="15"/>
      <c r="F12" s="15"/>
      <c r="G12" s="15"/>
      <c r="H12" s="15"/>
      <c r="I12" s="15"/>
      <c r="J12" s="15"/>
    </row>
    <row r="13" spans="1:10" x14ac:dyDescent="0.25">
      <c r="A13" s="19" t="s">
        <v>173</v>
      </c>
      <c r="B13" s="20">
        <f>$B$15*$B$8+$B$17</f>
        <v>1451.9893999999999</v>
      </c>
      <c r="C13" s="21" t="s">
        <v>46</v>
      </c>
      <c r="D13" s="15"/>
      <c r="E13" s="15"/>
      <c r="F13" s="15"/>
      <c r="G13" s="15"/>
      <c r="H13" s="15"/>
      <c r="I13" s="15"/>
      <c r="J13" s="15"/>
    </row>
    <row r="14" spans="1:10" x14ac:dyDescent="0.25">
      <c r="A14" s="19" t="s">
        <v>174</v>
      </c>
      <c r="B14" s="20">
        <f>SUM($B$22:$B$33)</f>
        <v>1445.1000000000001</v>
      </c>
      <c r="C14" s="21" t="s">
        <v>33</v>
      </c>
      <c r="D14" s="15"/>
      <c r="E14" s="15"/>
      <c r="F14" s="15"/>
      <c r="G14" s="15"/>
      <c r="H14" s="15"/>
      <c r="I14" s="15"/>
      <c r="J14" s="15"/>
    </row>
    <row r="15" spans="1:10" x14ac:dyDescent="0.25">
      <c r="A15" s="19" t="s">
        <v>136</v>
      </c>
      <c r="B15" s="20">
        <f>SUM(MIN($B22*$B$5,$D22*$C22),MIN($B23*$B$5,$D23*$C23),MIN($B24*$B$5,$D24*$C24),MIN($B25*$B$5,$D25*$C25),MIN($B26*$B$5,$D26*$C26),MIN($B27*$B$5,$D27*$C27),MIN($B28*$B$5,$D28*$C28),MIN($B29*$B$5,$D29*$C29),MIN($B30*$B$5,$D30*$C30),MIN($B31*$B$5,$D31*$C31),MIN($B32*$B$5,$D32*$C32),MIN($B33*$B$5,$D33*$C33))</f>
        <v>4240</v>
      </c>
      <c r="C15" s="21" t="s">
        <v>175</v>
      </c>
      <c r="D15" s="15"/>
      <c r="E15" s="15"/>
      <c r="F15" s="15"/>
      <c r="G15" s="15"/>
      <c r="H15" s="15"/>
      <c r="I15" s="15"/>
      <c r="J15" s="15"/>
    </row>
    <row r="16" spans="1:10" x14ac:dyDescent="0.25">
      <c r="A16" s="19" t="s">
        <v>176</v>
      </c>
      <c r="B16" s="20">
        <f>$C$34-$B$15</f>
        <v>3260</v>
      </c>
      <c r="C16" s="21" t="s">
        <v>175</v>
      </c>
      <c r="D16" s="15"/>
      <c r="E16" s="15"/>
      <c r="F16" s="15"/>
      <c r="G16" s="15"/>
      <c r="H16" s="15"/>
      <c r="I16" s="15"/>
      <c r="J16" s="15"/>
    </row>
    <row r="17" spans="1:10" x14ac:dyDescent="0.25">
      <c r="A17" s="19" t="s">
        <v>177</v>
      </c>
      <c r="B17" s="20">
        <f>SUM(MAX($B22*$B$5-MIN($B22*$B$5,$D22*$C22),0),MAX($B23*$B$5-MIN($B23*$B$5,$D23*$C23),0),MAX($B24*$B$5-MIN($B24*$B$5,$D24*$C24),0),MAX($B25*$B$5-MIN($B25*$B$5,$D25*$C25),0),MAX($B26*$B$5-MIN($B26*$B$5,$D26*$C26),0),MAX($B27*$B$5-MIN($B27*$B$5,$D27*$C27),0),MAX($B28*$B$5-MIN($B28*$B$5,$D28*$C28),0),MAX($B29*$B$5-MIN($B29*$B$5,$D29*$C29),0),MAX($B30*$B$5-MIN($B30*$B$5,$D30*$C30),0),MAX($B31*$B$5-MIN($B31*$B$5,$D31*$C31),0),MAX($B32*$B$5-MIN($B32*$B$5,$D32*$C32),0),MAX($B33*$B$5-MIN($B33*$B$5,$D33*$C33),0))*$B$9</f>
        <v>603.98940000000005</v>
      </c>
      <c r="C17" s="21" t="s">
        <v>38</v>
      </c>
      <c r="D17" s="15"/>
      <c r="E17" s="15"/>
      <c r="F17" s="15"/>
      <c r="G17" s="15"/>
      <c r="H17" s="15"/>
      <c r="I17" s="15"/>
      <c r="J17" s="15"/>
    </row>
    <row r="18" spans="1:10" ht="25.5" x14ac:dyDescent="0.25">
      <c r="A18" s="19" t="s">
        <v>178</v>
      </c>
      <c r="B18" s="20">
        <v>1200</v>
      </c>
      <c r="C18" s="21" t="s">
        <v>38</v>
      </c>
      <c r="D18" s="15"/>
      <c r="E18" s="15"/>
      <c r="F18" s="15"/>
      <c r="G18" s="15"/>
      <c r="H18" s="15"/>
      <c r="I18" s="15"/>
      <c r="J18" s="15"/>
    </row>
    <row r="19" spans="1:10" ht="42.75" customHeight="1" thickBo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</row>
    <row r="20" spans="1:10" ht="53.25" customHeight="1" thickBot="1" x14ac:dyDescent="0.3">
      <c r="A20" s="11" t="s">
        <v>179</v>
      </c>
      <c r="B20" s="12">
        <v>0</v>
      </c>
      <c r="C20" s="13" t="s">
        <v>36</v>
      </c>
      <c r="D20" s="11" t="s">
        <v>180</v>
      </c>
      <c r="E20" s="14">
        <f>$B$18*(1-$B$20)</f>
        <v>1200</v>
      </c>
      <c r="F20" s="13" t="s">
        <v>38</v>
      </c>
      <c r="G20" s="11" t="s">
        <v>181</v>
      </c>
      <c r="H20" s="12">
        <v>0</v>
      </c>
      <c r="I20" s="13" t="s">
        <v>36</v>
      </c>
      <c r="J20" s="15"/>
    </row>
    <row r="21" spans="1:10" ht="42.75" customHeight="1" x14ac:dyDescent="0.25">
      <c r="A21" s="18" t="s">
        <v>45</v>
      </c>
      <c r="B21" s="18" t="s">
        <v>33</v>
      </c>
      <c r="C21" s="18" t="s">
        <v>182</v>
      </c>
      <c r="D21" s="18" t="s">
        <v>183</v>
      </c>
      <c r="E21" s="17"/>
      <c r="F21" s="17"/>
      <c r="G21" s="17"/>
      <c r="H21" s="17"/>
      <c r="I21" s="17"/>
      <c r="J21" s="15"/>
    </row>
    <row r="22" spans="1:10" x14ac:dyDescent="0.25">
      <c r="A22" s="21" t="str">
        <f>'Απόδοση Εγκατάστασης'!$A$8</f>
        <v>January</v>
      </c>
      <c r="B22" s="20">
        <f>'Απόδοση Εγκατάστασης'!$B$8</f>
        <v>83</v>
      </c>
      <c r="C22" s="20">
        <f>'Απόδοση Εγκατάστασης'!$D$8*(1+$H$20)</f>
        <v>800</v>
      </c>
      <c r="D22" s="22">
        <f>'Απόδοση Εγκατάστασης'!$E$8</f>
        <v>0.4</v>
      </c>
      <c r="E22" s="15"/>
      <c r="F22" s="15"/>
      <c r="G22" s="15"/>
      <c r="H22" s="15"/>
      <c r="I22" s="15"/>
      <c r="J22" s="15"/>
    </row>
    <row r="23" spans="1:10" x14ac:dyDescent="0.25">
      <c r="A23" s="21" t="str">
        <f>'Απόδοση Εγκατάστασης'!$A$9</f>
        <v>February</v>
      </c>
      <c r="B23" s="20">
        <f>'Απόδοση Εγκατάστασης'!$B$9</f>
        <v>87.1</v>
      </c>
      <c r="C23" s="20">
        <f>'Απόδοση Εγκατάστασης'!$D$9*(1+$H$20)</f>
        <v>800</v>
      </c>
      <c r="D23" s="22">
        <f>'Απόδοση Εγκατάστασης'!$E$9</f>
        <v>0.5</v>
      </c>
      <c r="E23" s="15"/>
      <c r="F23" s="15"/>
      <c r="G23" s="15"/>
      <c r="H23" s="15"/>
      <c r="I23" s="15"/>
      <c r="J23" s="15"/>
    </row>
    <row r="24" spans="1:10" x14ac:dyDescent="0.25">
      <c r="A24" s="21" t="str">
        <f>'Απόδοση Εγκατάστασης'!$A$10</f>
        <v>March</v>
      </c>
      <c r="B24" s="20">
        <f>'Απόδοση Εγκατάστασης'!$B$10</f>
        <v>117.4</v>
      </c>
      <c r="C24" s="20">
        <f>'Απόδοση Εγκατάστασης'!$D$10*(1+$H$20)</f>
        <v>800</v>
      </c>
      <c r="D24" s="22">
        <f>'Απόδοση Εγκατάστασης'!$E$10</f>
        <v>0.6</v>
      </c>
      <c r="E24" s="15"/>
      <c r="F24" s="15"/>
      <c r="G24" s="15"/>
      <c r="H24" s="15"/>
      <c r="I24" s="15"/>
      <c r="J24" s="15"/>
    </row>
    <row r="25" spans="1:10" x14ac:dyDescent="0.25">
      <c r="A25" s="21" t="str">
        <f>'Απόδοση Εγκατάστασης'!$A$11</f>
        <v>April</v>
      </c>
      <c r="B25" s="20">
        <f>'Απόδοση Εγκατάστασης'!$B$11</f>
        <v>134.5</v>
      </c>
      <c r="C25" s="20">
        <f>'Απόδοση Εγκατάστασης'!$D$11*(1+$H$20)</f>
        <v>450</v>
      </c>
      <c r="D25" s="22">
        <f>'Απόδοση Εγκατάστασης'!$E$11</f>
        <v>0.7</v>
      </c>
      <c r="E25" s="15"/>
      <c r="F25" s="15"/>
      <c r="G25" s="15"/>
      <c r="H25" s="15"/>
      <c r="I25" s="15"/>
      <c r="J25" s="15"/>
    </row>
    <row r="26" spans="1:10" x14ac:dyDescent="0.25">
      <c r="A26" s="21" t="str">
        <f>'Απόδοση Εγκατάστασης'!$A$12</f>
        <v>May</v>
      </c>
      <c r="B26" s="20">
        <f>'Απόδοση Εγκατάστασης'!$B$12</f>
        <v>150.1</v>
      </c>
      <c r="C26" s="20">
        <f>'Απόδοση Εγκατάστασης'!$D$12*(1+$H$20)</f>
        <v>400</v>
      </c>
      <c r="D26" s="22">
        <f>'Απόδοση Εγκατάστασης'!$E$12</f>
        <v>0.7</v>
      </c>
      <c r="E26" s="15"/>
      <c r="F26" s="15"/>
      <c r="G26" s="15"/>
      <c r="H26" s="15"/>
      <c r="I26" s="15"/>
      <c r="J26" s="15"/>
    </row>
    <row r="27" spans="1:10" x14ac:dyDescent="0.25">
      <c r="A27" s="21" t="str">
        <f>'Απόδοση Εγκατάστασης'!$A$13</f>
        <v>June</v>
      </c>
      <c r="B27" s="20">
        <f>'Απόδοση Εγκατάστασης'!$B$13</f>
        <v>156.1</v>
      </c>
      <c r="C27" s="20">
        <f>'Απόδοση Εγκατάστασης'!$D$13*(1+$H$20)</f>
        <v>450</v>
      </c>
      <c r="D27" s="22">
        <f>'Απόδοση Εγκατάστασης'!$E$13</f>
        <v>0.7</v>
      </c>
      <c r="E27" s="15"/>
      <c r="F27" s="15"/>
      <c r="G27" s="15"/>
      <c r="H27" s="15"/>
      <c r="I27" s="15"/>
      <c r="J27" s="15"/>
    </row>
    <row r="28" spans="1:10" x14ac:dyDescent="0.25">
      <c r="A28" s="21" t="str">
        <f>'Απόδοση Εγκατάστασης'!$A$14</f>
        <v>July</v>
      </c>
      <c r="B28" s="20">
        <f>'Απόδοση Εγκατάστασης'!$B$14</f>
        <v>170.3</v>
      </c>
      <c r="C28" s="20">
        <f>'Απόδοση Εγκατάστασης'!$D$14*(1+$H$20)</f>
        <v>600</v>
      </c>
      <c r="D28" s="22">
        <f>'Απόδοση Εγκατάστασης'!$E$14</f>
        <v>0.7</v>
      </c>
      <c r="E28" s="15"/>
      <c r="F28" s="15"/>
      <c r="G28" s="15"/>
      <c r="H28" s="15"/>
      <c r="I28" s="15"/>
      <c r="J28" s="15"/>
    </row>
    <row r="29" spans="1:10" x14ac:dyDescent="0.25">
      <c r="A29" s="21" t="str">
        <f>'Απόδοση Εγκατάστασης'!$A$15</f>
        <v>August</v>
      </c>
      <c r="B29" s="20">
        <f>'Απόδοση Εγκατάστασης'!$B$15</f>
        <v>162</v>
      </c>
      <c r="C29" s="20">
        <f>'Απόδοση Εγκατάστασης'!$D$15*(1+$H$20)</f>
        <v>600</v>
      </c>
      <c r="D29" s="22">
        <f>'Απόδοση Εγκατάστασης'!$E$15</f>
        <v>0.7</v>
      </c>
      <c r="E29" s="15"/>
      <c r="F29" s="15"/>
      <c r="G29" s="15"/>
      <c r="H29" s="15"/>
      <c r="I29" s="15"/>
      <c r="J29" s="15"/>
    </row>
    <row r="30" spans="1:10" x14ac:dyDescent="0.25">
      <c r="A30" s="21" t="str">
        <f>'Απόδοση Εγκατάστασης'!$A$16</f>
        <v>September</v>
      </c>
      <c r="B30" s="20">
        <f>'Απόδοση Εγκατάστασης'!$B$16</f>
        <v>129.9</v>
      </c>
      <c r="C30" s="20">
        <f>'Απόδοση Εγκατάστασης'!$D$16*(1+$H$20)</f>
        <v>400</v>
      </c>
      <c r="D30" s="22">
        <f>'Απόδοση Εγκατάστασης'!$E$16</f>
        <v>0.6</v>
      </c>
      <c r="E30" s="15"/>
      <c r="F30" s="15"/>
      <c r="G30" s="15"/>
      <c r="H30" s="15"/>
      <c r="I30" s="15"/>
      <c r="J30" s="15"/>
    </row>
    <row r="31" spans="1:10" x14ac:dyDescent="0.25">
      <c r="A31" s="21" t="str">
        <f>'Απόδοση Εγκατάστασης'!$A$17</f>
        <v>October</v>
      </c>
      <c r="B31" s="20">
        <f>'Απόδοση Εγκατάστασης'!$B$17</f>
        <v>104</v>
      </c>
      <c r="C31" s="20">
        <f>'Απόδοση Εγκατάστασης'!$D$17*(1+$H$20)</f>
        <v>600</v>
      </c>
      <c r="D31" s="22">
        <f>'Απόδοση Εγκατάστασης'!$E$17</f>
        <v>0.55000000000000004</v>
      </c>
      <c r="E31" s="15"/>
      <c r="F31" s="15"/>
      <c r="G31" s="15"/>
      <c r="H31" s="15"/>
      <c r="I31" s="15"/>
      <c r="J31" s="15"/>
    </row>
    <row r="32" spans="1:10" x14ac:dyDescent="0.25">
      <c r="A32" s="21" t="str">
        <f>'Απόδοση Εγκατάστασης'!$A$18</f>
        <v>November</v>
      </c>
      <c r="B32" s="20">
        <f>'Απόδοση Εγκατάστασης'!$B$18</f>
        <v>77.400000000000006</v>
      </c>
      <c r="C32" s="20">
        <f>'Απόδοση Εγκατάστασης'!$D$18*(1+$H$20)</f>
        <v>800</v>
      </c>
      <c r="D32" s="22">
        <f>'Απόδοση Εγκατάστασης'!$E$18</f>
        <v>0.5</v>
      </c>
      <c r="E32" s="15"/>
      <c r="F32" s="15"/>
      <c r="G32" s="15"/>
      <c r="H32" s="15"/>
      <c r="I32" s="15"/>
      <c r="J32" s="15"/>
    </row>
    <row r="33" spans="1:10" x14ac:dyDescent="0.25">
      <c r="A33" s="21" t="str">
        <f>'Απόδοση Εγκατάστασης'!$A$19</f>
        <v>December</v>
      </c>
      <c r="B33" s="20">
        <f>'Απόδοση Εγκατάστασης'!$B$19</f>
        <v>73.3</v>
      </c>
      <c r="C33" s="20">
        <f>'Απόδοση Εγκατάστασης'!$D$19*(1+$H$20)</f>
        <v>800</v>
      </c>
      <c r="D33" s="22">
        <f>'Απόδοση Εγκατάστασης'!$E$19</f>
        <v>0.4</v>
      </c>
      <c r="E33" s="15"/>
      <c r="F33" s="15"/>
      <c r="G33" s="15"/>
      <c r="H33" s="15"/>
      <c r="I33" s="15"/>
      <c r="J33" s="15"/>
    </row>
    <row r="34" spans="1:10" ht="44.1" customHeight="1" x14ac:dyDescent="0.25">
      <c r="A34" s="21" t="s">
        <v>184</v>
      </c>
      <c r="B34" s="20">
        <f>SUM(B22:B33)</f>
        <v>1445.1000000000001</v>
      </c>
      <c r="C34" s="20">
        <f>SUM(C22:C33)</f>
        <v>7500</v>
      </c>
      <c r="D34" s="22">
        <f>AVERAGE(D22:D33)</f>
        <v>0.58750000000000002</v>
      </c>
      <c r="E34" s="15"/>
      <c r="F34" s="15"/>
      <c r="G34" s="15"/>
      <c r="H34" s="15"/>
      <c r="I34" s="15"/>
      <c r="J34" s="15"/>
    </row>
    <row r="35" spans="1:10" ht="48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</row>
    <row r="36" spans="1:10" ht="24" customHeight="1" x14ac:dyDescent="0.25">
      <c r="A36" s="15"/>
      <c r="B36" s="15"/>
      <c r="C36" s="15"/>
      <c r="D36" s="15"/>
      <c r="E36" s="15"/>
      <c r="F36" s="15"/>
      <c r="G36" s="15"/>
      <c r="H36" s="15"/>
      <c r="I36" s="9"/>
      <c r="J36" s="9"/>
    </row>
    <row r="37" spans="1:10" ht="48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</row>
    <row r="38" spans="1:10" x14ac:dyDescent="0.25">
      <c r="A38" s="278" t="s">
        <v>185</v>
      </c>
      <c r="B38" s="279"/>
      <c r="C38" s="279"/>
      <c r="D38" s="280"/>
      <c r="E38" s="9"/>
      <c r="F38" s="9"/>
      <c r="G38" s="9"/>
      <c r="H38" s="9"/>
      <c r="I38" s="9"/>
      <c r="J38" s="9"/>
    </row>
    <row r="39" spans="1:10" ht="25.5" x14ac:dyDescent="0.25">
      <c r="A39" s="269" t="s">
        <v>0</v>
      </c>
      <c r="B39" s="269" t="s">
        <v>1</v>
      </c>
      <c r="C39" s="269" t="s">
        <v>2</v>
      </c>
      <c r="D39" s="269" t="s">
        <v>3</v>
      </c>
      <c r="E39" s="9"/>
      <c r="F39" s="9"/>
      <c r="G39" s="9"/>
      <c r="H39" s="9"/>
      <c r="I39" s="9"/>
      <c r="J39" s="9"/>
    </row>
    <row r="40" spans="1:10" x14ac:dyDescent="0.25">
      <c r="A40" s="24" t="s">
        <v>186</v>
      </c>
      <c r="B40" s="25">
        <v>2.5</v>
      </c>
      <c r="C40" s="25">
        <f>B40*30</f>
        <v>75</v>
      </c>
      <c r="D40" s="25">
        <f>B40/2.5*$E$20</f>
        <v>1200</v>
      </c>
      <c r="E40" s="9"/>
      <c r="F40" s="9"/>
      <c r="G40" s="9"/>
      <c r="H40" s="9"/>
      <c r="I40" s="9"/>
      <c r="J40" s="9"/>
    </row>
    <row r="41" spans="1:10" x14ac:dyDescent="0.25">
      <c r="A41" s="24" t="s">
        <v>187</v>
      </c>
      <c r="B41" s="25">
        <v>5</v>
      </c>
      <c r="C41" s="25">
        <f>B41*30</f>
        <v>150</v>
      </c>
      <c r="D41" s="25">
        <f>B41/2.5*$E$20</f>
        <v>2400</v>
      </c>
      <c r="E41" s="9"/>
      <c r="F41" s="9"/>
      <c r="G41" s="9"/>
      <c r="H41" s="9"/>
      <c r="I41" s="9"/>
      <c r="J41" s="9"/>
    </row>
    <row r="42" spans="1:10" x14ac:dyDescent="0.25">
      <c r="A42" s="24" t="s">
        <v>188</v>
      </c>
      <c r="B42" s="25">
        <v>7.5</v>
      </c>
      <c r="C42" s="25">
        <f>B42*30</f>
        <v>225</v>
      </c>
      <c r="D42" s="25">
        <f>B42/2.5*$E$20</f>
        <v>3600</v>
      </c>
      <c r="E42" s="9"/>
      <c r="F42" s="9"/>
      <c r="G42" s="9"/>
      <c r="H42" s="9"/>
      <c r="I42" s="9"/>
      <c r="J42" s="9"/>
    </row>
    <row r="43" spans="1:10" x14ac:dyDescent="0.25">
      <c r="A43" s="24" t="s">
        <v>189</v>
      </c>
      <c r="B43" s="25">
        <v>10</v>
      </c>
      <c r="C43" s="25">
        <f>B43*30</f>
        <v>300</v>
      </c>
      <c r="D43" s="25">
        <f>B43/2.5*$E$20</f>
        <v>4800</v>
      </c>
      <c r="E43" s="9"/>
      <c r="F43" s="9"/>
      <c r="G43" s="9"/>
      <c r="H43" s="9"/>
      <c r="I43" s="9"/>
      <c r="J43" s="9"/>
    </row>
    <row r="44" spans="1:10" x14ac:dyDescent="0.25">
      <c r="A44" s="24" t="s">
        <v>190</v>
      </c>
      <c r="B44" s="25">
        <v>0</v>
      </c>
      <c r="C44" s="25">
        <f>B44*30</f>
        <v>0</v>
      </c>
      <c r="D44" s="25">
        <f>B44/2.5*$E$20</f>
        <v>0</v>
      </c>
      <c r="E44" s="9"/>
      <c r="F44" s="9"/>
      <c r="G44" s="9"/>
      <c r="H44" s="9"/>
      <c r="I44" s="9"/>
      <c r="J44" s="9"/>
    </row>
  </sheetData>
  <mergeCells count="3">
    <mergeCell ref="A1:I1"/>
    <mergeCell ref="A2:I2"/>
    <mergeCell ref="A38:D38"/>
  </mergeCells>
  <pageMargins left="0.75" right="0.75" top="1" bottom="1" header="0.5" footer="0.5"/>
  <pageSetup paperSize="9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6">
    <pageSetUpPr fitToPage="1"/>
  </sheetPr>
  <dimension ref="A1:H276"/>
  <sheetViews>
    <sheetView showGridLines="0" topLeftCell="A54" zoomScale="60" zoomScaleNormal="60" workbookViewId="0">
      <selection activeCell="E36" sqref="E36"/>
    </sheetView>
  </sheetViews>
  <sheetFormatPr defaultRowHeight="15" x14ac:dyDescent="0.25"/>
  <cols>
    <col min="1" max="3" width="18" customWidth="1"/>
    <col min="4" max="5" width="16" customWidth="1"/>
    <col min="6" max="6" width="12" customWidth="1"/>
    <col min="7" max="7" width="10" customWidth="1"/>
    <col min="8" max="8" width="3.5703125" customWidth="1"/>
  </cols>
  <sheetData>
    <row r="1" spans="1:8" x14ac:dyDescent="0.25">
      <c r="A1" s="285" t="s">
        <v>191</v>
      </c>
      <c r="B1" s="276"/>
      <c r="C1" s="276"/>
      <c r="D1" s="276"/>
      <c r="E1" s="276"/>
      <c r="F1" s="276"/>
      <c r="G1" s="276"/>
      <c r="H1" s="276"/>
    </row>
    <row r="2" spans="1:8" ht="27.75" customHeight="1" x14ac:dyDescent="0.25">
      <c r="A2" s="286"/>
      <c r="B2" s="286"/>
      <c r="C2" s="286"/>
      <c r="D2" s="286"/>
      <c r="E2" s="286"/>
      <c r="F2" s="286"/>
      <c r="G2" s="286"/>
      <c r="H2" s="286"/>
    </row>
    <row r="3" spans="1:8" x14ac:dyDescent="0.25">
      <c r="A3" s="9"/>
      <c r="B3" s="9"/>
      <c r="C3" s="9"/>
      <c r="D3" s="9"/>
      <c r="E3" s="9"/>
      <c r="F3" s="9"/>
      <c r="G3" s="9"/>
      <c r="H3" s="9"/>
    </row>
    <row r="4" spans="1:8" x14ac:dyDescent="0.25">
      <c r="A4" s="26" t="s">
        <v>59</v>
      </c>
      <c r="B4" s="27">
        <f>DPP_FromNPV($C$6:$C$31,$A$6:$A$31,$B$6:$B$31)</f>
        <v>6.7869833666614614</v>
      </c>
      <c r="C4" s="9"/>
      <c r="D4" s="9"/>
      <c r="E4" s="9"/>
      <c r="F4" s="9"/>
      <c r="G4" s="9"/>
      <c r="H4" s="9"/>
    </row>
    <row r="5" spans="1:8" x14ac:dyDescent="0.25">
      <c r="A5" s="28" t="s">
        <v>29</v>
      </c>
      <c r="B5" s="28" t="s">
        <v>192</v>
      </c>
      <c r="C5" s="28" t="s">
        <v>193</v>
      </c>
      <c r="D5" s="9"/>
      <c r="E5" s="9"/>
      <c r="F5" s="9"/>
      <c r="G5" s="9"/>
      <c r="H5" s="9"/>
    </row>
    <row r="6" spans="1:8" x14ac:dyDescent="0.25">
      <c r="A6" s="29">
        <v>0</v>
      </c>
      <c r="B6" s="30">
        <v>0</v>
      </c>
      <c r="C6" s="30">
        <f>-ι_Μοντέλο_Ελέγχου_α!$B$6</f>
        <v>-9128</v>
      </c>
      <c r="D6" s="9"/>
      <c r="E6" s="9"/>
      <c r="F6" s="9"/>
      <c r="G6" s="9"/>
      <c r="H6" s="9"/>
    </row>
    <row r="7" spans="1:8" x14ac:dyDescent="0.25">
      <c r="A7" s="29">
        <v>1</v>
      </c>
      <c r="B7" s="30">
        <f>ι_Μοντέλο_Ελέγχου_α!$B$13/(1+ι_Μοντέλο_Ελέγχου_α!$B$10)^A7</f>
        <v>1423.5190196078431</v>
      </c>
      <c r="C7" s="30">
        <f t="shared" ref="C7:C31" si="0">C6+B7</f>
        <v>-7704.4809803921571</v>
      </c>
      <c r="D7" s="9"/>
      <c r="E7" s="9"/>
      <c r="F7" s="9"/>
      <c r="G7" s="9"/>
      <c r="H7" s="9"/>
    </row>
    <row r="8" spans="1:8" x14ac:dyDescent="0.25">
      <c r="A8" s="29">
        <v>2</v>
      </c>
      <c r="B8" s="30">
        <f>ι_Μοντέλο_Ελέγχου_α!$B$13/(1+ι_Μοντέλο_Ελέγχου_α!$B$10)^A8</f>
        <v>1395.6068819684735</v>
      </c>
      <c r="C8" s="30">
        <f t="shared" si="0"/>
        <v>-6308.8740984236838</v>
      </c>
      <c r="D8" s="9"/>
      <c r="E8" s="9"/>
      <c r="F8" s="9"/>
      <c r="G8" s="9"/>
      <c r="H8" s="9"/>
    </row>
    <row r="9" spans="1:8" x14ac:dyDescent="0.25">
      <c r="A9" s="29">
        <v>3</v>
      </c>
      <c r="B9" s="30">
        <f>ι_Μοντέλο_Ελέγχου_α!$B$13/(1+ι_Μοντέλο_Ελέγχου_α!$B$10)^A9</f>
        <v>1368.2420411455626</v>
      </c>
      <c r="C9" s="30">
        <f t="shared" si="0"/>
        <v>-4940.6320572781215</v>
      </c>
      <c r="D9" s="9"/>
      <c r="E9" s="9"/>
      <c r="F9" s="9"/>
      <c r="G9" s="9"/>
      <c r="H9" s="9"/>
    </row>
    <row r="10" spans="1:8" x14ac:dyDescent="0.25">
      <c r="A10" s="29">
        <v>4</v>
      </c>
      <c r="B10" s="30">
        <f>ι_Μοντέλο_Ελέγχου_α!$B$13/(1+ι_Μοντέλο_Ελέγχου_α!$B$10)^A10</f>
        <v>1341.4137658289828</v>
      </c>
      <c r="C10" s="30">
        <f t="shared" si="0"/>
        <v>-3599.2182914491386</v>
      </c>
      <c r="D10" s="9"/>
      <c r="E10" s="9"/>
      <c r="F10" s="9"/>
      <c r="G10" s="9"/>
      <c r="H10" s="9"/>
    </row>
    <row r="11" spans="1:8" x14ac:dyDescent="0.25">
      <c r="A11" s="29">
        <v>5</v>
      </c>
      <c r="B11" s="30">
        <f>ι_Μοντέλο_Ελέγχου_α!$B$13/(1+ι_Μοντέλο_Ελέγχου_α!$B$10)^A11</f>
        <v>1315.1115351264536</v>
      </c>
      <c r="C11" s="30">
        <f t="shared" si="0"/>
        <v>-2284.1067563226852</v>
      </c>
      <c r="D11" s="9"/>
      <c r="E11" s="9"/>
      <c r="F11" s="9"/>
      <c r="G11" s="9"/>
      <c r="H11" s="9"/>
    </row>
    <row r="12" spans="1:8" x14ac:dyDescent="0.25">
      <c r="A12" s="29">
        <v>6</v>
      </c>
      <c r="B12" s="30">
        <f>ι_Μοντέλο_Ελέγχου_α!$B$13/(1+ι_Μοντέλο_Ελέγχου_α!$B$10)^A12</f>
        <v>1289.3250344376995</v>
      </c>
      <c r="C12" s="30">
        <f t="shared" si="0"/>
        <v>-994.7817218849857</v>
      </c>
      <c r="D12" s="9"/>
      <c r="E12" s="9"/>
      <c r="F12" s="9"/>
      <c r="G12" s="9"/>
      <c r="H12" s="9"/>
    </row>
    <row r="13" spans="1:8" x14ac:dyDescent="0.25">
      <c r="A13" s="29">
        <v>7</v>
      </c>
      <c r="B13" s="30">
        <f>ι_Μοντέλο_Ελέγχου_α!$B$13/(1+ι_Μοντέλο_Ελέγχου_α!$B$10)^A13</f>
        <v>1264.0441514095096</v>
      </c>
      <c r="C13" s="30">
        <f t="shared" si="0"/>
        <v>269.2624295245239</v>
      </c>
      <c r="D13" s="9"/>
      <c r="E13" s="9"/>
      <c r="F13" s="9"/>
      <c r="G13" s="9"/>
      <c r="H13" s="9"/>
    </row>
    <row r="14" spans="1:8" x14ac:dyDescent="0.25">
      <c r="A14" s="29">
        <v>8</v>
      </c>
      <c r="B14" s="30">
        <f>ι_Μοντέλο_Ελέγχου_α!$B$13/(1+ι_Μοντέλο_Ελέγχου_α!$B$10)^A14</f>
        <v>1239.2589719701073</v>
      </c>
      <c r="C14" s="30">
        <f t="shared" si="0"/>
        <v>1508.5214014946312</v>
      </c>
      <c r="D14" s="9"/>
      <c r="E14" s="9"/>
      <c r="F14" s="9"/>
      <c r="G14" s="9"/>
      <c r="H14" s="9"/>
    </row>
    <row r="15" spans="1:8" x14ac:dyDescent="0.25">
      <c r="A15" s="29">
        <v>9</v>
      </c>
      <c r="B15" s="30">
        <f>ι_Μοντέλο_Ελέγχου_α!$B$13/(1+ι_Μοντέλο_Ελέγχου_α!$B$10)^A15</f>
        <v>1214.9597764412817</v>
      </c>
      <c r="C15" s="30">
        <f t="shared" si="0"/>
        <v>2723.4811779359129</v>
      </c>
      <c r="D15" s="9"/>
      <c r="E15" s="9"/>
      <c r="F15" s="9"/>
      <c r="G15" s="9"/>
      <c r="H15" s="9"/>
    </row>
    <row r="16" spans="1:8" x14ac:dyDescent="0.25">
      <c r="A16" s="29">
        <v>10</v>
      </c>
      <c r="B16" s="30">
        <f>ι_Μοντέλο_Ελέγχου_α!$B$13/(1+ι_Μοντέλο_Ελέγχου_α!$B$10)^A16</f>
        <v>1191.1370357267467</v>
      </c>
      <c r="C16" s="30">
        <f t="shared" si="0"/>
        <v>3914.6182136626594</v>
      </c>
      <c r="D16" s="9"/>
      <c r="E16" s="9"/>
      <c r="F16" s="9"/>
      <c r="G16" s="9"/>
      <c r="H16" s="9"/>
    </row>
    <row r="17" spans="1:8" x14ac:dyDescent="0.25">
      <c r="A17" s="29">
        <v>11</v>
      </c>
      <c r="B17" s="30">
        <f>ι_Μοντέλο_Ελέγχου_α!$B$13/(1+ι_Μοντέλο_Ελέγχου_α!$B$10)^A17</f>
        <v>1167.7814075752422</v>
      </c>
      <c r="C17" s="30">
        <f t="shared" si="0"/>
        <v>5082.3996212379016</v>
      </c>
      <c r="D17" s="9"/>
      <c r="E17" s="9"/>
      <c r="F17" s="9"/>
      <c r="G17" s="9"/>
      <c r="H17" s="9"/>
    </row>
    <row r="18" spans="1:8" x14ac:dyDescent="0.25">
      <c r="A18" s="29">
        <v>12</v>
      </c>
      <c r="B18" s="30">
        <f>ι_Μοντέλο_Ελέγχου_α!$B$13/(1+ι_Μοντέλο_Ελέγχου_α!$B$10)^A18</f>
        <v>1144.8837329169039</v>
      </c>
      <c r="C18" s="30">
        <f t="shared" si="0"/>
        <v>6227.2833541548052</v>
      </c>
      <c r="D18" s="9"/>
      <c r="E18" s="9"/>
      <c r="F18" s="9"/>
      <c r="G18" s="9"/>
      <c r="H18" s="9"/>
    </row>
    <row r="19" spans="1:8" x14ac:dyDescent="0.25">
      <c r="A19" s="29">
        <v>13</v>
      </c>
      <c r="B19" s="30">
        <f>ι_Μοντέλο_Ελέγχου_α!$B$13/(1+ι_Μοντέλο_Ελέγχου_α!$B$10)^A19</f>
        <v>1122.4350322714745</v>
      </c>
      <c r="C19" s="30">
        <f t="shared" si="0"/>
        <v>7349.7183864262797</v>
      </c>
      <c r="D19" s="9"/>
      <c r="E19" s="9"/>
      <c r="F19" s="9"/>
      <c r="G19" s="9"/>
      <c r="H19" s="9"/>
    </row>
    <row r="20" spans="1:8" x14ac:dyDescent="0.25">
      <c r="A20" s="29">
        <v>14</v>
      </c>
      <c r="B20" s="30">
        <f>ι_Μοντέλο_Ελέγχου_α!$B$13/(1+ι_Μοντέλο_Ελέγχου_α!$B$10)^A20</f>
        <v>1100.4265022269356</v>
      </c>
      <c r="C20" s="30">
        <f t="shared" si="0"/>
        <v>8450.1448886532162</v>
      </c>
      <c r="D20" s="9"/>
      <c r="E20" s="9"/>
      <c r="F20" s="9"/>
      <c r="G20" s="9"/>
      <c r="H20" s="9"/>
    </row>
    <row r="21" spans="1:8" x14ac:dyDescent="0.25">
      <c r="A21" s="29">
        <v>15</v>
      </c>
      <c r="B21" s="30">
        <f>ι_Μοντέλο_Ελέγχου_α!$B$13/(1+ι_Μοντέλο_Ελέγχου_α!$B$10)^A21</f>
        <v>1078.849511987192</v>
      </c>
      <c r="C21" s="30">
        <f t="shared" si="0"/>
        <v>9528.9944006404075</v>
      </c>
      <c r="D21" s="9"/>
      <c r="E21" s="9"/>
      <c r="F21" s="9"/>
      <c r="G21" s="9"/>
      <c r="H21" s="9"/>
    </row>
    <row r="22" spans="1:8" x14ac:dyDescent="0.25">
      <c r="A22" s="29">
        <v>16</v>
      </c>
      <c r="B22" s="30">
        <f>ι_Μοντέλο_Ελέγχου_α!$B$13/(1+ι_Μοντέλο_Ελέγχου_α!$B$10)^A22</f>
        <v>1057.6955999874431</v>
      </c>
      <c r="C22" s="30">
        <f t="shared" si="0"/>
        <v>10586.69000062785</v>
      </c>
      <c r="D22" s="9"/>
      <c r="E22" s="9"/>
      <c r="F22" s="9"/>
      <c r="G22" s="9"/>
      <c r="H22" s="9"/>
    </row>
    <row r="23" spans="1:8" x14ac:dyDescent="0.25">
      <c r="A23" s="29">
        <v>17</v>
      </c>
      <c r="B23" s="30">
        <f>ι_Μοντέλο_Ελέγχου_α!$B$13/(1+ι_Μοντέλο_Ελέγχου_α!$B$10)^A23</f>
        <v>1036.9564705759244</v>
      </c>
      <c r="C23" s="30">
        <f t="shared" si="0"/>
        <v>11623.646471203774</v>
      </c>
      <c r="D23" s="9"/>
      <c r="E23" s="9"/>
      <c r="F23" s="9"/>
      <c r="G23" s="9"/>
      <c r="H23" s="9"/>
    </row>
    <row r="24" spans="1:8" x14ac:dyDescent="0.25">
      <c r="A24" s="29">
        <v>18</v>
      </c>
      <c r="B24" s="30">
        <f>ι_Μοντέλο_Ελέγχου_α!$B$13/(1+ι_Μοντέλο_Ελέγχου_α!$B$10)^A24</f>
        <v>1016.6239907607104</v>
      </c>
      <c r="C24" s="30">
        <f t="shared" si="0"/>
        <v>12640.270461964485</v>
      </c>
      <c r="D24" s="9"/>
      <c r="E24" s="9"/>
      <c r="F24" s="9"/>
      <c r="G24" s="9"/>
      <c r="H24" s="9"/>
    </row>
    <row r="25" spans="1:8" x14ac:dyDescent="0.25">
      <c r="A25" s="29">
        <v>19</v>
      </c>
      <c r="B25" s="30">
        <f>ι_Μοντέλο_Ελέγχου_α!$B$13/(1+ι_Μοντέλο_Ελέγχου_α!$B$10)^A25</f>
        <v>996.69018702030428</v>
      </c>
      <c r="C25" s="30">
        <f t="shared" si="0"/>
        <v>13636.960648984788</v>
      </c>
      <c r="D25" s="9"/>
      <c r="E25" s="9"/>
      <c r="F25" s="9"/>
      <c r="G25" s="9"/>
      <c r="H25" s="9"/>
    </row>
    <row r="26" spans="1:8" x14ac:dyDescent="0.25">
      <c r="A26" s="29">
        <v>20</v>
      </c>
      <c r="B26" s="30">
        <f>ι_Μοντέλο_Ελέγχου_α!$B$13/(1+ι_Μοντέλο_Ελέγχου_α!$B$10)^A26</f>
        <v>977.14724217676883</v>
      </c>
      <c r="C26" s="30">
        <f t="shared" si="0"/>
        <v>14614.107891161557</v>
      </c>
      <c r="D26" s="9"/>
      <c r="E26" s="9"/>
      <c r="F26" s="9"/>
      <c r="G26" s="9"/>
      <c r="H26" s="9"/>
    </row>
    <row r="27" spans="1:8" x14ac:dyDescent="0.25">
      <c r="A27" s="29">
        <v>21</v>
      </c>
      <c r="B27" s="30">
        <f>ι_Μοντέλο_Ελέγχου_α!$B$13/(1+ι_Μοντέλο_Ελέγχου_α!$B$10)^A27</f>
        <v>957.98749233016565</v>
      </c>
      <c r="C27" s="30">
        <f t="shared" si="0"/>
        <v>15572.095383491722</v>
      </c>
      <c r="D27" s="9"/>
      <c r="E27" s="9"/>
      <c r="F27" s="9"/>
      <c r="G27" s="9"/>
      <c r="H27" s="9"/>
    </row>
    <row r="28" spans="1:8" x14ac:dyDescent="0.25">
      <c r="A28" s="29">
        <v>22</v>
      </c>
      <c r="B28" s="30">
        <f>ι_Μοντέλο_Ελέγχου_α!$B$13/(1+ι_Μοντέλο_Ελέγχου_α!$B$10)^A28</f>
        <v>939.20342385310346</v>
      </c>
      <c r="C28" s="30">
        <f t="shared" si="0"/>
        <v>16511.298807344825</v>
      </c>
      <c r="D28" s="9"/>
      <c r="E28" s="9"/>
      <c r="F28" s="9"/>
      <c r="G28" s="9"/>
      <c r="H28" s="9"/>
    </row>
    <row r="29" spans="1:8" x14ac:dyDescent="0.25">
      <c r="A29" s="29">
        <v>23</v>
      </c>
      <c r="B29" s="30">
        <f>ι_Μοντέλο_Ελέγχου_α!$B$13/(1+ι_Μοντέλο_Ελέγχου_α!$B$10)^A29</f>
        <v>920.78767044421932</v>
      </c>
      <c r="C29" s="30">
        <f t="shared" si="0"/>
        <v>17432.086477789046</v>
      </c>
      <c r="D29" s="9"/>
      <c r="E29" s="9"/>
      <c r="F29" s="9"/>
      <c r="G29" s="9"/>
      <c r="H29" s="9"/>
    </row>
    <row r="30" spans="1:8" x14ac:dyDescent="0.25">
      <c r="A30" s="29">
        <v>24</v>
      </c>
      <c r="B30" s="30">
        <f>ι_Μοντέλο_Ελέγχου_α!$B$13/(1+ι_Μοντέλο_Ελέγχου_α!$B$10)^A30</f>
        <v>902.73301023943066</v>
      </c>
      <c r="C30" s="30">
        <f t="shared" si="0"/>
        <v>18334.819488028475</v>
      </c>
      <c r="D30" s="9"/>
      <c r="E30" s="9"/>
      <c r="F30" s="9"/>
      <c r="G30" s="9"/>
      <c r="H30" s="9"/>
    </row>
    <row r="31" spans="1:8" x14ac:dyDescent="0.25">
      <c r="A31" s="29">
        <v>25</v>
      </c>
      <c r="B31" s="30">
        <f>ι_Μοντέλο_Ελέγχου_α!$B$13/(1+ι_Μοντέλο_Ελέγχου_α!$B$10)^A31</f>
        <v>885.03236297983392</v>
      </c>
      <c r="C31" s="30">
        <f t="shared" si="0"/>
        <v>19219.851851008309</v>
      </c>
      <c r="D31" s="9"/>
      <c r="E31" s="9"/>
      <c r="F31" s="9"/>
      <c r="G31" s="9"/>
      <c r="H31" s="9"/>
    </row>
    <row r="32" spans="1:8" x14ac:dyDescent="0.25">
      <c r="A32" s="9"/>
      <c r="B32" s="9"/>
      <c r="C32" s="9"/>
      <c r="D32" s="9"/>
      <c r="E32" s="9"/>
      <c r="F32" s="9"/>
      <c r="G32" s="9"/>
      <c r="H32" s="9"/>
    </row>
    <row r="33" spans="1:8" x14ac:dyDescent="0.25">
      <c r="A33" s="9"/>
      <c r="B33" s="9"/>
      <c r="C33" s="9"/>
      <c r="D33" s="9"/>
      <c r="E33" s="9"/>
      <c r="F33" s="9"/>
      <c r="G33" s="9"/>
      <c r="H33" s="9"/>
    </row>
    <row r="34" spans="1:8" x14ac:dyDescent="0.25">
      <c r="A34" s="284" t="s">
        <v>194</v>
      </c>
      <c r="B34" s="282"/>
      <c r="C34" s="282"/>
      <c r="D34" s="282"/>
      <c r="E34" s="282"/>
      <c r="F34" s="282"/>
      <c r="G34" s="282"/>
      <c r="H34" s="283"/>
    </row>
    <row r="35" spans="1:8" ht="26.25" customHeight="1" x14ac:dyDescent="0.25">
      <c r="A35" s="31" t="s">
        <v>0</v>
      </c>
      <c r="B35" s="31" t="s">
        <v>1</v>
      </c>
      <c r="C35" s="31" t="s">
        <v>2</v>
      </c>
      <c r="D35" s="31" t="s">
        <v>3</v>
      </c>
      <c r="E35" s="31" t="s">
        <v>195</v>
      </c>
      <c r="F35" s="31" t="s">
        <v>13</v>
      </c>
      <c r="G35" s="31" t="s">
        <v>23</v>
      </c>
      <c r="H35" s="31"/>
    </row>
    <row r="36" spans="1:8" x14ac:dyDescent="0.25">
      <c r="A36" s="32" t="str">
        <f>ι_Μοντέλο_Ελέγχου_α!$A$40</f>
        <v>Μπαταρία 2.5 kWh</v>
      </c>
      <c r="B36" s="33">
        <f>ι_Μοντέλο_Ελέγχου_α!$B$40</f>
        <v>2.5</v>
      </c>
      <c r="C36" s="33">
        <f>ι_Μοντέλο_Ελέγχου_α!$C$40</f>
        <v>75</v>
      </c>
      <c r="D36" s="34">
        <f>ι_Μοντέλο_Ελέγχου_α!$D$40</f>
        <v>1200</v>
      </c>
      <c r="E36" s="35">
        <f>IF(COUNTIF($G$40:$G$50,1)=0,INDEX($A$40:$A$50,MIN(ROWS($A$40:$A$50),MATCH(ι_Μοντέλο_Ελέγχου_α!$B$15,$B$40:$B$50,1)+1)),INDEX($A$40:$A$50,_xlfn.AGGREGATE(15,6,(ROW($F$40:$F$50)-ROW($F$40)+1)/(($G$40:$G$50=1)*($F$40:$F$50=_xlfn.AGGREGATE(15,6,$F$40:$F$50/($G$40:$G$50=1),1))),1)))</f>
        <v>3.96</v>
      </c>
      <c r="F36" s="35">
        <f>INDEX($C$40:$C$50,MATCH(E36,$A$40:$A$50,0))</f>
        <v>2919.7280000000001</v>
      </c>
      <c r="G36" s="35">
        <f>DPP_FromNPV($C$55:$C$80,$A$55:$A$80,$B$55:$B$80)</f>
        <v>5.2406026895231541</v>
      </c>
      <c r="H36" s="32"/>
    </row>
    <row r="37" spans="1:8" x14ac:dyDescent="0.25">
      <c r="A37" s="9"/>
      <c r="B37" s="9"/>
      <c r="C37" s="9"/>
      <c r="D37" s="42"/>
      <c r="E37" s="10"/>
      <c r="F37" s="10"/>
      <c r="G37" s="43"/>
      <c r="H37" s="9"/>
    </row>
    <row r="38" spans="1:8" x14ac:dyDescent="0.25">
      <c r="A38" s="281" t="s">
        <v>196</v>
      </c>
      <c r="B38" s="282"/>
      <c r="C38" s="282"/>
      <c r="D38" s="282"/>
      <c r="E38" s="282"/>
      <c r="F38" s="282"/>
      <c r="G38" s="283"/>
      <c r="H38" s="9"/>
    </row>
    <row r="39" spans="1:8" ht="26.25" customHeight="1" x14ac:dyDescent="0.25">
      <c r="A39" s="31" t="s">
        <v>28</v>
      </c>
      <c r="B39" s="31" t="s">
        <v>197</v>
      </c>
      <c r="C39" s="31" t="s">
        <v>13</v>
      </c>
      <c r="D39" s="36" t="s">
        <v>49</v>
      </c>
      <c r="E39" s="37" t="s">
        <v>19</v>
      </c>
      <c r="F39" s="37" t="s">
        <v>23</v>
      </c>
      <c r="G39" s="38" t="s">
        <v>198</v>
      </c>
      <c r="H39" s="9"/>
    </row>
    <row r="40" spans="1:8" x14ac:dyDescent="0.25">
      <c r="A40" s="29">
        <f>ι_Μοντέλο_Ελέγχου_α!$B$5*(ROW()-40)/10</f>
        <v>0</v>
      </c>
      <c r="B40" s="29">
        <f>AnnualSelfConsumptionWithBattery(A40,ι_Μοντέλο_Ελέγχου_α!$B$22:$B$33,ι_Μοντέλο_Ελέγχου_α!$C$22:$C$33,ι_Μοντέλο_Ελέγχου_α!$D$22:$D$33,ι_Μοντέλο_Ελέγχου_α!$C$40)</f>
        <v>0</v>
      </c>
      <c r="C40" s="29">
        <f>ι_Μοντέλο_Ελέγχου_α!$C$34-B40</f>
        <v>7500</v>
      </c>
      <c r="D40" s="30">
        <f>A40*ι_Μοντέλο_Ελέγχου_α!$B$7+ι_Μοντέλο_Ελέγχου_α!$D$40</f>
        <v>1200</v>
      </c>
      <c r="E40" s="39">
        <f>B40*ι_Μοντέλο_Ελέγχου_α!$B$8+MAX(A40*ι_Μοντέλο_Ελέγχου_α!$B$14-B40,0)*ι_Μοντέλο_Ελέγχου_α!$B$9</f>
        <v>0</v>
      </c>
      <c r="F40" s="39"/>
      <c r="G40" s="40">
        <f>IF(AND(C40&lt;=ι_Μοντέλο_Ελέγχου_α!$B$16,ISNUMBER(F40),F40&lt;=$B$4),1,0)</f>
        <v>0</v>
      </c>
      <c r="H40" s="9"/>
    </row>
    <row r="41" spans="1:8" x14ac:dyDescent="0.25">
      <c r="A41" s="29">
        <f>ι_Μοντέλο_Ελέγχου_α!$B$5*(ROW()-40)/10</f>
        <v>0.99</v>
      </c>
      <c r="B41" s="29">
        <f>AnnualSelfConsumptionWithBattery(A41,ι_Μοντέλο_Ελέγχου_α!$B$22:$B$33,ι_Μοντέλο_Ελέγχου_α!$C$22:$C$33,ι_Μοντέλο_Ελέγχου_α!$D$22:$D$33,ι_Μοντέλο_Ελέγχου_α!$C$40)</f>
        <v>1430.6490000000001</v>
      </c>
      <c r="C41" s="29">
        <f>ι_Μοντέλο_Ελέγχου_α!$C$34-B41</f>
        <v>6069.3509999999997</v>
      </c>
      <c r="D41" s="30">
        <f>A41*ι_Μοντέλο_Ελέγχου_α!$B$7+ι_Μοντέλο_Ελέγχου_α!$D$40</f>
        <v>2112.8000000000002</v>
      </c>
      <c r="E41" s="39">
        <f>B41*ι_Μοντέλο_Ελέγχου_α!$B$8+MAX(A41*ι_Μοντέλο_Ελέγχου_α!$B$14-B41,0)*ι_Μοντέλο_Ελέγχου_α!$B$9</f>
        <v>286.12980000000005</v>
      </c>
      <c r="F41" s="39">
        <f>-LN(1-D41*ι_Μοντέλο_Ελέγχου_α!$B$10/E41)/LN(1+ι_Μοντέλο_Ελέγχου_α!$B$10)</f>
        <v>8.0693674252962957</v>
      </c>
      <c r="G41" s="40">
        <f>IF(AND(C41&lt;=ι_Μοντέλο_Ελέγχου_α!$B$16,ISNUMBER(F41),F41&lt;=$B$4),1,0)</f>
        <v>0</v>
      </c>
      <c r="H41" s="9"/>
    </row>
    <row r="42" spans="1:8" x14ac:dyDescent="0.25">
      <c r="A42" s="29">
        <f>ι_Μοντέλο_Ελέγχου_α!$B$5*(ROW()-40)/10</f>
        <v>1.98</v>
      </c>
      <c r="B42" s="29">
        <f>AnnualSelfConsumptionWithBattery(A42,ι_Μοντέλο_Ελέγχου_α!$B$22:$B$33,ι_Μοντέλο_Ελέγχου_α!$C$22:$C$33,ι_Μοντέλο_Ελέγχου_α!$D$22:$D$33,ι_Μοντέλο_Ελέγχου_α!$C$40)</f>
        <v>2861.2980000000002</v>
      </c>
      <c r="C42" s="29">
        <f>ι_Μοντέλο_Ελέγχου_α!$C$34-B42</f>
        <v>4638.7019999999993</v>
      </c>
      <c r="D42" s="30">
        <f>A42*ι_Μοντέλο_Ελέγχου_α!$B$7+ι_Μοντέλο_Ελέγχου_α!$D$40</f>
        <v>3025.6</v>
      </c>
      <c r="E42" s="39">
        <f>B42*ι_Μοντέλο_Ελέγχου_α!$B$8+MAX(A42*ι_Μοντέλο_Ελέγχου_α!$B$14-B42,0)*ι_Μοντέλο_Ελέγχου_α!$B$9</f>
        <v>572.25960000000009</v>
      </c>
      <c r="F42" s="39">
        <f>-LN(1-D42*ι_Μοντέλο_Ελέγχου_α!$B$10/E42)/LN(1+ι_Μοντέλο_Ελέγχου_α!$B$10)</f>
        <v>5.6437561624827257</v>
      </c>
      <c r="G42" s="40">
        <f>IF(AND(C42&lt;=ι_Μοντέλο_Ελέγχου_α!$B$16,ISNUMBER(F42),F42&lt;=$B$4),1,0)</f>
        <v>0</v>
      </c>
      <c r="H42" s="9"/>
    </row>
    <row r="43" spans="1:8" x14ac:dyDescent="0.25">
      <c r="A43" s="29">
        <f>ι_Μοντέλο_Ελέγχου_α!$B$5*(ROW()-40)/10</f>
        <v>2.97</v>
      </c>
      <c r="B43" s="29">
        <f>AnnualSelfConsumptionWithBattery(A43,ι_Μοντέλο_Ελέγχου_α!$B$22:$B$33,ι_Μοντέλο_Ελέγχου_α!$C$22:$C$33,ι_Μοντέλο_Ελέγχου_α!$D$22:$D$33,ι_Μοντέλο_Ελέγχου_α!$C$40)</f>
        <v>4036.4740000000002</v>
      </c>
      <c r="C43" s="29">
        <f>ι_Μοντέλο_Ελέγχου_α!$C$34-B43</f>
        <v>3463.5259999999998</v>
      </c>
      <c r="D43" s="30">
        <f>A43*ι_Μοντέλο_Ελέγχου_α!$B$7+ι_Μοντέλο_Ελέγχου_α!$D$40</f>
        <v>3938.4</v>
      </c>
      <c r="E43" s="39">
        <f>B43*ι_Μοντέλο_Ελέγχου_α!$B$8+MAX(A43*ι_Μοντέλο_Ελέγχου_α!$B$14-B43,0)*ι_Μοντέλο_Ελέγχου_α!$B$9</f>
        <v>822.62318000000016</v>
      </c>
      <c r="F43" s="39">
        <f>-LN(1-D43*ι_Μοντέλο_Ελέγχου_α!$B$10/E43)/LN(1+ι_Μοντέλο_Ελέγχου_α!$B$10)</f>
        <v>5.0827532877391706</v>
      </c>
      <c r="G43" s="40">
        <f>IF(AND(C43&lt;=ι_Μοντέλο_Ελέγχου_α!$B$16,ISNUMBER(F43),F43&lt;=$B$4),1,0)</f>
        <v>0</v>
      </c>
      <c r="H43" s="9"/>
    </row>
    <row r="44" spans="1:8" x14ac:dyDescent="0.25">
      <c r="A44" s="29">
        <f>ι_Μοντέλο_Ελέγχου_α!$B$5*(ROW()-40)/10</f>
        <v>3.96</v>
      </c>
      <c r="B44" s="29">
        <f>AnnualSelfConsumptionWithBattery(A44,ι_Μοντέλο_Ελέγχου_α!$B$22:$B$33,ι_Μοντέλο_Ελέγχου_α!$C$22:$C$33,ι_Μοντέλο_Ελέγχου_α!$D$22:$D$33,ι_Μοντέλο_Ελέγχου_α!$C$40)</f>
        <v>4580.2719999999999</v>
      </c>
      <c r="C44" s="29">
        <f>ι_Μοντέλο_Ελέγχου_α!$C$34-B44</f>
        <v>2919.7280000000001</v>
      </c>
      <c r="D44" s="30">
        <f>A44*ι_Μοντέλο_Ελέγχου_α!$B$7+ι_Μοντέλο_Ελέγχου_α!$D$40</f>
        <v>4851.2</v>
      </c>
      <c r="E44" s="39">
        <f>B44*ι_Μοντέλο_Ελέγχου_α!$B$8+MAX(A44*ι_Μοντέλο_Ελέγχου_α!$B$14-B44,0)*ι_Μοντέλο_Ελέγχου_α!$B$9</f>
        <v>984.59384</v>
      </c>
      <c r="F44" s="39">
        <f>-LN(1-D44*ι_Μοντέλο_Ελέγχου_α!$B$10/E44)/LN(1+ι_Μοντέλο_Ελέγχου_α!$B$10)</f>
        <v>5.2387997912579234</v>
      </c>
      <c r="G44" s="40">
        <f>IF(AND(C44&lt;=ι_Μοντέλο_Ελέγχου_α!$B$16,ISNUMBER(F44),F44&lt;=$B$4),1,0)</f>
        <v>1</v>
      </c>
      <c r="H44" s="9"/>
    </row>
    <row r="45" spans="1:8" x14ac:dyDescent="0.25">
      <c r="A45" s="29">
        <f>ι_Μοντέλο_Ελέγχου_α!$B$5*(ROW()-40)/10</f>
        <v>4.95</v>
      </c>
      <c r="B45" s="29">
        <f>AnnualSelfConsumptionWithBattery(A45,ι_Μοντέλο_Ελέγχου_α!$B$22:$B$33,ι_Μοντέλο_Ελέγχου_α!$C$22:$C$33,ι_Μοντέλο_Ελέγχου_α!$D$22:$D$33,ι_Μοντέλο_Ελέγχου_α!$C$40)</f>
        <v>4972.1100000000006</v>
      </c>
      <c r="C45" s="29">
        <f>ι_Μοντέλο_Ελέγχου_α!$C$34-B45</f>
        <v>2527.8899999999994</v>
      </c>
      <c r="D45" s="30">
        <f>A45*ι_Μοντέλο_Ελέγχου_α!$B$7+ι_Μοντέλο_Ελέγχου_α!$D$40</f>
        <v>5764</v>
      </c>
      <c r="E45" s="39">
        <f>B45*ι_Μοντέλο_Ελέγχου_α!$B$8+MAX(A45*ι_Μοντέλο_Ελέγχου_α!$B$14-B45,0)*ι_Μοντέλο_Ελέγχου_α!$B$9</f>
        <v>1125.2901000000002</v>
      </c>
      <c r="F45" s="39">
        <f>-LN(1-D45*ι_Μοντέλο_Ελέγχου_α!$B$10/E45)/LN(1+ι_Μοντέλο_Ελέγχου_α!$B$10)</f>
        <v>5.4578888276525808</v>
      </c>
      <c r="G45" s="40">
        <f>IF(AND(C45&lt;=ι_Μοντέλο_Ελέγχου_α!$B$16,ISNUMBER(F45),F45&lt;=$B$4),1,0)</f>
        <v>1</v>
      </c>
      <c r="H45" s="9"/>
    </row>
    <row r="46" spans="1:8" x14ac:dyDescent="0.25">
      <c r="A46" s="29">
        <f>ι_Μοντέλο_Ελέγχου_α!$B$5*(ROW()-40)/10</f>
        <v>5.94</v>
      </c>
      <c r="B46" s="29">
        <f>AnnualSelfConsumptionWithBattery(A46,ι_Μοντέλο_Ελέγχου_α!$B$22:$B$33,ι_Μοντέλο_Ελέγχου_α!$C$22:$C$33,ι_Μοντέλο_Ελέγχου_α!$D$22:$D$33,ι_Μοντέλο_Ελέγχου_α!$C$40)</f>
        <v>5124.7560000000003</v>
      </c>
      <c r="C46" s="29">
        <f>ι_Μοντέλο_Ελέγχου_α!$C$34-B46</f>
        <v>2375.2439999999997</v>
      </c>
      <c r="D46" s="30">
        <f>A46*ι_Μοντέλο_Ελέγχου_α!$B$7+ι_Μοντέλο_Ελέγχου_α!$D$40</f>
        <v>6676.8</v>
      </c>
      <c r="E46" s="39">
        <f>B46*ι_Μοντέλο_Ελέγχου_α!$B$8+MAX(A46*ι_Μοντέλο_Ελέγχου_α!$B$14-B46,0)*ι_Μοντέλο_Ελέγχου_α!$B$9</f>
        <v>1232.4994800000004</v>
      </c>
      <c r="F46" s="39">
        <f>-LN(1-D46*ι_Μοντέλο_Ελέγχου_α!$B$10/E46)/LN(1+ι_Μοντέλο_Ελέγχου_α!$B$10)</f>
        <v>5.7909871580515455</v>
      </c>
      <c r="G46" s="40">
        <f>IF(AND(C46&lt;=ι_Μοντέλο_Ελέγχου_α!$B$16,ISNUMBER(F46),F46&lt;=$B$4),1,0)</f>
        <v>1</v>
      </c>
      <c r="H46" s="9"/>
    </row>
    <row r="47" spans="1:8" x14ac:dyDescent="0.25">
      <c r="A47" s="29">
        <f>ι_Μοντέλο_Ελέγχου_α!$B$5*(ROW()-40)/10</f>
        <v>6.93</v>
      </c>
      <c r="B47" s="29">
        <f>AnnualSelfConsumptionWithBattery(A47,ι_Μοντέλο_Ελέγχου_α!$B$22:$B$33,ι_Μοντέλο_Ελέγχου_α!$C$22:$C$33,ι_Μοντέλο_Ελέγχου_α!$D$22:$D$33,ι_Μοντέλο_Ελέγχου_α!$C$40)</f>
        <v>5140</v>
      </c>
      <c r="C47" s="29">
        <f>ι_Μοντέλο_Ελέγχου_α!$C$34-B47</f>
        <v>2360</v>
      </c>
      <c r="D47" s="30">
        <f>A47*ι_Μοντέλο_Ελέγχου_α!$B$7+ι_Μοντέλο_Ελέγχου_α!$D$40</f>
        <v>7589.5999999999995</v>
      </c>
      <c r="E47" s="39">
        <f>B47*ι_Μοντέλο_Ελέγχου_α!$B$8+MAX(A47*ι_Μοντέλο_Ελέγχου_α!$B$14-B47,0)*ι_Μοντέλο_Ελέγχου_α!$B$9</f>
        <v>1320.4725800000001</v>
      </c>
      <c r="F47" s="39">
        <f>-LN(1-D47*ι_Μοντέλο_Ελέγχου_α!$B$10/E47)/LN(1+ι_Μοντέλο_Ελέγχου_α!$B$10)</f>
        <v>6.1665698589380487</v>
      </c>
      <c r="G47" s="40">
        <f>IF(AND(C47&lt;=ι_Μοντέλο_Ελέγχου_α!$B$16,ISNUMBER(F47),F47&lt;=$B$4),1,0)</f>
        <v>1</v>
      </c>
      <c r="H47" s="9"/>
    </row>
    <row r="48" spans="1:8" x14ac:dyDescent="0.25">
      <c r="A48" s="29">
        <f>ι_Μοντέλο_Ελέγχου_α!$B$5*(ROW()-40)/10</f>
        <v>7.92</v>
      </c>
      <c r="B48" s="29">
        <f>AnnualSelfConsumptionWithBattery(A48,ι_Μοντέλο_Ελέγχου_α!$B$22:$B$33,ι_Μοντέλο_Ελέγχου_α!$C$22:$C$33,ι_Μοντέλο_Ελέγχου_α!$D$22:$D$33,ι_Μοντέλο_Ελέγχου_α!$C$40)</f>
        <v>5140</v>
      </c>
      <c r="C48" s="29">
        <f>ι_Μοντέλο_Ελέγχου_α!$C$34-B48</f>
        <v>2360</v>
      </c>
      <c r="D48" s="30">
        <f>A48*ι_Μοντέλο_Ελέγχου_α!$B$7+ι_Μοντέλο_Ελέγχου_α!$D$40</f>
        <v>8502.4</v>
      </c>
      <c r="E48" s="39">
        <f>B48*ι_Μοντέλο_Ελέγχου_α!$B$8+MAX(A48*ι_Μοντέλο_Ελέγχου_α!$B$14-B48,0)*ι_Μοντέλο_Ελέγχου_α!$B$9</f>
        <v>1406.31152</v>
      </c>
      <c r="F48" s="39">
        <f>-LN(1-D48*ι_Μοντέλο_Ελέγχου_α!$B$10/E48)/LN(1+ι_Μοντέλο_Ελέγχου_α!$B$10)</f>
        <v>6.5080653919007405</v>
      </c>
      <c r="G48" s="40">
        <f>IF(AND(C48&lt;=ι_Μοντέλο_Ελέγχου_α!$B$16,ISNUMBER(F48),F48&lt;=$B$4),1,0)</f>
        <v>1</v>
      </c>
      <c r="H48" s="9"/>
    </row>
    <row r="49" spans="1:8" x14ac:dyDescent="0.25">
      <c r="A49" s="29">
        <f>ι_Μοντέλο_Ελέγχου_α!$B$5*(ROW()-40)/10</f>
        <v>8.91</v>
      </c>
      <c r="B49" s="29">
        <f>AnnualSelfConsumptionWithBattery(A49,ι_Μοντέλο_Ελέγχου_α!$B$22:$B$33,ι_Μοντέλο_Ελέγχου_α!$C$22:$C$33,ι_Μοντέλο_Ελέγχου_α!$D$22:$D$33,ι_Μοντέλο_Ελέγχου_α!$C$40)</f>
        <v>5140</v>
      </c>
      <c r="C49" s="29">
        <f>ι_Μοντέλο_Ελέγχου_α!$C$34-B49</f>
        <v>2360</v>
      </c>
      <c r="D49" s="30">
        <f>A49*ι_Μοντέλο_Ελέγχου_α!$B$7+ι_Μοντέλο_Ελέγχου_α!$D$40</f>
        <v>9415.1999999999989</v>
      </c>
      <c r="E49" s="39">
        <f>B49*ι_Μοντέλο_Ελέγχου_α!$B$8+MAX(A49*ι_Μοντέλο_Ελέγχου_α!$B$14-B49,0)*ι_Μοντέλο_Ελέγχου_α!$B$9</f>
        <v>1492.1504600000001</v>
      </c>
      <c r="F49" s="39">
        <f>-LN(1-D49*ι_Μοντέλο_Ελέγχου_α!$B$10/E49)/LN(1+ι_Μοντέλο_Ελέγχου_α!$B$10)</f>
        <v>6.8122087039428001</v>
      </c>
      <c r="G49" s="40">
        <f>IF(AND(C49&lt;=ι_Μοντέλο_Ελέγχου_α!$B$16,ISNUMBER(F49),F49&lt;=$B$4),1,0)</f>
        <v>0</v>
      </c>
      <c r="H49" s="9"/>
    </row>
    <row r="50" spans="1:8" x14ac:dyDescent="0.25">
      <c r="A50" s="29">
        <f>ι_Μοντέλο_Ελέγχου_α!$B$5*(ROW()-40)/10</f>
        <v>9.9</v>
      </c>
      <c r="B50" s="29">
        <f>AnnualSelfConsumptionWithBattery(A50,ι_Μοντέλο_Ελέγχου_α!$B$22:$B$33,ι_Μοντέλο_Ελέγχου_α!$C$22:$C$33,ι_Μοντέλο_Ελέγχου_α!$D$22:$D$33,ι_Μοντέλο_Ελέγχου_α!$C$40)</f>
        <v>5140</v>
      </c>
      <c r="C50" s="29">
        <f>ι_Μοντέλο_Ελέγχου_α!$C$34-B50</f>
        <v>2360</v>
      </c>
      <c r="D50" s="30">
        <f>A50*ι_Μοντέλο_Ελέγχου_α!$B$7+ι_Μοντέλο_Ελέγχου_α!$D$40</f>
        <v>10328</v>
      </c>
      <c r="E50" s="39">
        <f>B50*ι_Μοντέλο_Ελέγχου_α!$B$8+MAX(A50*ι_Μοντέλο_Ελέγχου_α!$B$14-B50,0)*ι_Μοντέλο_Ελέγχου_α!$B$9</f>
        <v>1577.9893999999999</v>
      </c>
      <c r="F50" s="39">
        <f>-LN(1-D50*ι_Μοντέλο_Ελέγχου_α!$B$10/E50)/LN(1+ι_Μοντέλο_Ελέγχου_α!$B$10)</f>
        <v>7.0848150275228274</v>
      </c>
      <c r="G50" s="40">
        <f>IF(AND(C50&lt;=ι_Μοντέλο_Ελέγχου_α!$B$16,ISNUMBER(F50),F50&lt;=$B$4),1,0)</f>
        <v>0</v>
      </c>
      <c r="H50" s="9"/>
    </row>
    <row r="51" spans="1:8" x14ac:dyDescent="0.25">
      <c r="A51" s="9"/>
      <c r="B51" s="9"/>
      <c r="C51" s="9"/>
      <c r="D51" s="42"/>
      <c r="E51" s="10"/>
      <c r="F51" s="10"/>
      <c r="G51" s="43"/>
      <c r="H51" s="9"/>
    </row>
    <row r="52" spans="1:8" x14ac:dyDescent="0.25">
      <c r="A52" s="9"/>
      <c r="B52" s="9"/>
      <c r="C52" s="9"/>
      <c r="D52" s="42"/>
      <c r="E52" s="10"/>
      <c r="F52" s="10"/>
      <c r="G52" s="43"/>
      <c r="H52" s="9"/>
    </row>
    <row r="53" spans="1:8" x14ac:dyDescent="0.25">
      <c r="A53" s="281" t="s">
        <v>199</v>
      </c>
      <c r="B53" s="282"/>
      <c r="C53" s="283"/>
      <c r="D53" s="42"/>
      <c r="E53" s="10"/>
      <c r="F53" s="10"/>
      <c r="G53" s="43"/>
      <c r="H53" s="9"/>
    </row>
    <row r="54" spans="1:8" x14ac:dyDescent="0.25">
      <c r="A54" s="31" t="s">
        <v>29</v>
      </c>
      <c r="B54" s="31" t="s">
        <v>200</v>
      </c>
      <c r="C54" s="31" t="s">
        <v>201</v>
      </c>
      <c r="D54" s="42"/>
      <c r="E54" s="10"/>
      <c r="F54" s="10"/>
      <c r="G54" s="43"/>
      <c r="H54" s="9"/>
    </row>
    <row r="55" spans="1:8" x14ac:dyDescent="0.25">
      <c r="A55" s="29">
        <v>0</v>
      </c>
      <c r="B55" s="30">
        <v>0</v>
      </c>
      <c r="C55" s="30">
        <f>-ιγ_Αποτελέσματα_Σεναρίων!$H$4</f>
        <v>-4851.2</v>
      </c>
      <c r="D55" s="42"/>
      <c r="E55" s="10"/>
      <c r="F55" s="10"/>
      <c r="G55" s="43"/>
      <c r="H55" s="9"/>
    </row>
    <row r="56" spans="1:8" x14ac:dyDescent="0.25">
      <c r="A56" s="29">
        <v>1</v>
      </c>
      <c r="B56" s="30">
        <f>ιγ_Αποτελέσματα_Σεναρίων!$T$4/(1+ι_Μοντέλο_Ελέγχου_α!$B$10)^A56</f>
        <v>965.28807843137258</v>
      </c>
      <c r="C56" s="30">
        <f t="shared" ref="C56:C80" si="1">C55+B56</f>
        <v>-3885.9119215686273</v>
      </c>
      <c r="D56" s="42"/>
      <c r="E56" s="10"/>
      <c r="F56" s="10"/>
      <c r="G56" s="43"/>
      <c r="H56" s="9"/>
    </row>
    <row r="57" spans="1:8" x14ac:dyDescent="0.25">
      <c r="A57" s="29">
        <v>2</v>
      </c>
      <c r="B57" s="30">
        <f>ιγ_Αποτελέσματα_Σεναρίων!$T$4/(1+ι_Μοντέλο_Ελέγχου_α!$B$10)^A57</f>
        <v>946.36086120722803</v>
      </c>
      <c r="C57" s="30">
        <f t="shared" si="1"/>
        <v>-2939.5510603613993</v>
      </c>
      <c r="D57" s="42"/>
      <c r="E57" s="10"/>
      <c r="F57" s="10"/>
      <c r="G57" s="43"/>
      <c r="H57" s="9"/>
    </row>
    <row r="58" spans="1:8" x14ac:dyDescent="0.25">
      <c r="A58" s="29">
        <v>3</v>
      </c>
      <c r="B58" s="30">
        <f>ιγ_Αποτελέσματα_Σεναρίων!$T$4/(1+ι_Μοντέλο_Ελέγχου_α!$B$10)^A58</f>
        <v>927.8047658894393</v>
      </c>
      <c r="C58" s="30">
        <f t="shared" si="1"/>
        <v>-2011.74629447196</v>
      </c>
      <c r="D58" s="42"/>
      <c r="E58" s="10"/>
      <c r="F58" s="10"/>
      <c r="G58" s="43"/>
      <c r="H58" s="9"/>
    </row>
    <row r="59" spans="1:8" x14ac:dyDescent="0.25">
      <c r="A59" s="29">
        <v>4</v>
      </c>
      <c r="B59" s="30">
        <f>ιγ_Αποτελέσματα_Σεναρίων!$T$4/(1+ι_Μοντέλο_Ελέγχου_α!$B$10)^A59</f>
        <v>909.6125155778816</v>
      </c>
      <c r="C59" s="30">
        <f t="shared" si="1"/>
        <v>-1102.1337788940784</v>
      </c>
      <c r="D59" s="42"/>
      <c r="E59" s="10"/>
      <c r="F59" s="10"/>
      <c r="G59" s="43"/>
      <c r="H59" s="9"/>
    </row>
    <row r="60" spans="1:8" x14ac:dyDescent="0.25">
      <c r="A60" s="29">
        <v>5</v>
      </c>
      <c r="B60" s="30">
        <f>ιγ_Αποτελέσματα_Σεναρίων!$T$4/(1+ι_Μοντέλο_Ελέγχου_α!$B$10)^A60</f>
        <v>891.77697605674666</v>
      </c>
      <c r="C60" s="30">
        <f t="shared" si="1"/>
        <v>-210.35680283733177</v>
      </c>
      <c r="D60" s="42"/>
      <c r="E60" s="10"/>
      <c r="F60" s="10"/>
      <c r="G60" s="43"/>
      <c r="H60" s="9"/>
    </row>
    <row r="61" spans="1:8" x14ac:dyDescent="0.25">
      <c r="A61" s="29">
        <v>6</v>
      </c>
      <c r="B61" s="30">
        <f>ιγ_Αποτελέσματα_Σεναρίων!$T$4/(1+ι_Μοντέλο_Ελέγχου_α!$B$10)^A61</f>
        <v>874.29115299681041</v>
      </c>
      <c r="C61" s="30">
        <f t="shared" si="1"/>
        <v>663.93435015947864</v>
      </c>
      <c r="D61" s="42"/>
      <c r="E61" s="10"/>
      <c r="F61" s="10"/>
      <c r="G61" s="43"/>
      <c r="H61" s="9"/>
    </row>
    <row r="62" spans="1:8" x14ac:dyDescent="0.25">
      <c r="A62" s="29">
        <v>7</v>
      </c>
      <c r="B62" s="30">
        <f>ιγ_Αποτελέσματα_Σεναρίων!$T$4/(1+ι_Μοντέλο_Ελέγχου_α!$B$10)^A62</f>
        <v>857.14818921255937</v>
      </c>
      <c r="C62" s="30">
        <f t="shared" si="1"/>
        <v>1521.0825393720379</v>
      </c>
      <c r="D62" s="42"/>
      <c r="E62" s="10"/>
      <c r="F62" s="10"/>
      <c r="G62" s="43"/>
      <c r="H62" s="9"/>
    </row>
    <row r="63" spans="1:8" x14ac:dyDescent="0.25">
      <c r="A63" s="29">
        <v>8</v>
      </c>
      <c r="B63" s="30">
        <f>ιγ_Αποτελέσματα_Σεναρίων!$T$4/(1+ι_Μοντέλο_Ελέγχου_α!$B$10)^A63</f>
        <v>840.34136197309738</v>
      </c>
      <c r="C63" s="30">
        <f t="shared" si="1"/>
        <v>2361.4239013451352</v>
      </c>
      <c r="D63" s="42"/>
      <c r="E63" s="10"/>
      <c r="F63" s="10"/>
      <c r="G63" s="43"/>
      <c r="H63" s="9"/>
    </row>
    <row r="64" spans="1:8" x14ac:dyDescent="0.25">
      <c r="A64" s="29">
        <v>9</v>
      </c>
      <c r="B64" s="30">
        <f>ιγ_Αποτελέσματα_Σεναρίων!$T$4/(1+ι_Μοντέλο_Ελέγχου_α!$B$10)^A64</f>
        <v>823.86408036578177</v>
      </c>
      <c r="C64" s="30">
        <f t="shared" si="1"/>
        <v>3185.2879817109169</v>
      </c>
      <c r="D64" s="42"/>
      <c r="E64" s="10"/>
      <c r="F64" s="10"/>
      <c r="G64" s="43"/>
      <c r="H64" s="9"/>
    </row>
    <row r="65" spans="1:8" x14ac:dyDescent="0.25">
      <c r="A65" s="29">
        <v>10</v>
      </c>
      <c r="B65" s="30">
        <f>ιγ_Αποτελέσματα_Σεναρίων!$T$4/(1+ι_Μοντέλο_Ελέγχου_α!$B$10)^A65</f>
        <v>807.70988271155068</v>
      </c>
      <c r="C65" s="30">
        <f t="shared" si="1"/>
        <v>3992.9978644224675</v>
      </c>
      <c r="D65" s="42"/>
      <c r="E65" s="10"/>
      <c r="F65" s="10"/>
      <c r="G65" s="43"/>
      <c r="H65" s="9"/>
    </row>
    <row r="66" spans="1:8" x14ac:dyDescent="0.25">
      <c r="A66" s="29">
        <v>11</v>
      </c>
      <c r="B66" s="30">
        <f>ιγ_Αποτελέσματα_Σεναρίων!$T$4/(1+ι_Μοντέλο_Ελέγχου_α!$B$10)^A66</f>
        <v>791.87243403093214</v>
      </c>
      <c r="C66" s="30">
        <f t="shared" si="1"/>
        <v>4784.8702984533993</v>
      </c>
      <c r="D66" s="42"/>
      <c r="E66" s="10"/>
      <c r="F66" s="10"/>
      <c r="G66" s="43"/>
      <c r="H66" s="9"/>
    </row>
    <row r="67" spans="1:8" x14ac:dyDescent="0.25">
      <c r="A67" s="29">
        <v>12</v>
      </c>
      <c r="B67" s="30">
        <f>ιγ_Αποτελέσματα_Σεναρίων!$T$4/(1+ι_Μοντέλο_Ελέγχου_α!$B$10)^A67</f>
        <v>776.34552355973733</v>
      </c>
      <c r="C67" s="30">
        <f t="shared" si="1"/>
        <v>5561.2158220131369</v>
      </c>
      <c r="D67" s="42"/>
      <c r="E67" s="10"/>
      <c r="F67" s="10"/>
      <c r="G67" s="43"/>
      <c r="H67" s="9"/>
    </row>
    <row r="68" spans="1:8" x14ac:dyDescent="0.25">
      <c r="A68" s="29">
        <v>13</v>
      </c>
      <c r="B68" s="30">
        <f>ιγ_Αποτελέσματα_Σεναρίων!$T$4/(1+ι_Μοντέλο_Ελέγχου_α!$B$10)^A68</f>
        <v>761.12306231346804</v>
      </c>
      <c r="C68" s="30">
        <f t="shared" si="1"/>
        <v>6322.3388843266048</v>
      </c>
      <c r="D68" s="42"/>
      <c r="E68" s="10"/>
      <c r="F68" s="10"/>
      <c r="G68" s="43"/>
      <c r="H68" s="9"/>
    </row>
    <row r="69" spans="1:8" x14ac:dyDescent="0.25">
      <c r="A69" s="29">
        <v>14</v>
      </c>
      <c r="B69" s="30">
        <f>ιγ_Αποτελέσματα_Σεναρίων!$T$4/(1+ι_Μοντέλο_Ελέγχου_α!$B$10)^A69</f>
        <v>746.19908069947837</v>
      </c>
      <c r="C69" s="30">
        <f t="shared" si="1"/>
        <v>7068.5379650260829</v>
      </c>
      <c r="D69" s="42"/>
      <c r="E69" s="10"/>
      <c r="F69" s="10"/>
      <c r="G69" s="43"/>
      <c r="H69" s="9"/>
    </row>
    <row r="70" spans="1:8" x14ac:dyDescent="0.25">
      <c r="A70" s="29">
        <v>15</v>
      </c>
      <c r="B70" s="30">
        <f>ιγ_Αποτελέσματα_Σεναρίων!$T$4/(1+ι_Μοντέλο_Ελέγχου_α!$B$10)^A70</f>
        <v>731.56772617595936</v>
      </c>
      <c r="C70" s="30">
        <f t="shared" si="1"/>
        <v>7800.1056912020422</v>
      </c>
      <c r="D70" s="42"/>
      <c r="E70" s="10"/>
      <c r="F70" s="10"/>
      <c r="G70" s="43"/>
      <c r="H70" s="9"/>
    </row>
    <row r="71" spans="1:8" x14ac:dyDescent="0.25">
      <c r="A71" s="29">
        <v>16</v>
      </c>
      <c r="B71" s="30">
        <f>ιγ_Αποτελέσματα_Σεναρίων!$T$4/(1+ι_Μοντέλο_Ελέγχου_α!$B$10)^A71</f>
        <v>717.22326095682274</v>
      </c>
      <c r="C71" s="30">
        <f t="shared" si="1"/>
        <v>8517.3289521588649</v>
      </c>
      <c r="D71" s="42"/>
      <c r="E71" s="10"/>
      <c r="F71" s="10"/>
      <c r="G71" s="43"/>
      <c r="H71" s="9"/>
    </row>
    <row r="72" spans="1:8" x14ac:dyDescent="0.25">
      <c r="A72" s="29">
        <v>17</v>
      </c>
      <c r="B72" s="30">
        <f>ιγ_Αποτελέσματα_Σεναρίων!$T$4/(1+ι_Μοντέλο_Ελέγχου_α!$B$10)^A72</f>
        <v>703.1600597615909</v>
      </c>
      <c r="C72" s="30">
        <f t="shared" si="1"/>
        <v>9220.4890119204556</v>
      </c>
      <c r="D72" s="42"/>
      <c r="E72" s="10"/>
      <c r="F72" s="10"/>
      <c r="G72" s="43"/>
      <c r="H72" s="9"/>
    </row>
    <row r="73" spans="1:8" x14ac:dyDescent="0.25">
      <c r="A73" s="29">
        <v>18</v>
      </c>
      <c r="B73" s="30">
        <f>ιγ_Αποτελέσματα_Σεναρίων!$T$4/(1+ι_Μοντέλο_Ελέγχου_α!$B$10)^A73</f>
        <v>689.37260760940296</v>
      </c>
      <c r="C73" s="30">
        <f t="shared" si="1"/>
        <v>9909.8616195298582</v>
      </c>
      <c r="D73" s="42"/>
      <c r="E73" s="10"/>
      <c r="F73" s="10"/>
      <c r="G73" s="43"/>
      <c r="H73" s="9"/>
    </row>
    <row r="74" spans="1:8" x14ac:dyDescent="0.25">
      <c r="A74" s="29">
        <v>19</v>
      </c>
      <c r="B74" s="30">
        <f>ιγ_Αποτελέσματα_Σεναρίων!$T$4/(1+ι_Μοντέλο_Ελέγχου_α!$B$10)^A74</f>
        <v>675.85549765627741</v>
      </c>
      <c r="C74" s="30">
        <f t="shared" si="1"/>
        <v>10585.717117186136</v>
      </c>
      <c r="D74" s="42"/>
      <c r="E74" s="10"/>
      <c r="F74" s="10"/>
      <c r="G74" s="43"/>
      <c r="H74" s="9"/>
    </row>
    <row r="75" spans="1:8" x14ac:dyDescent="0.25">
      <c r="A75" s="29">
        <v>20</v>
      </c>
      <c r="B75" s="30">
        <f>ιγ_Αποτελέσματα_Σεναρίων!$T$4/(1+ι_Μοντέλο_Ελέγχου_α!$B$10)^A75</f>
        <v>662.60342907478173</v>
      </c>
      <c r="C75" s="30">
        <f t="shared" si="1"/>
        <v>11248.320546260917</v>
      </c>
      <c r="D75" s="42"/>
      <c r="E75" s="10"/>
      <c r="F75" s="10"/>
      <c r="G75" s="43"/>
      <c r="H75" s="9"/>
    </row>
    <row r="76" spans="1:8" x14ac:dyDescent="0.25">
      <c r="A76" s="29">
        <v>21</v>
      </c>
      <c r="B76" s="30">
        <f>ιγ_Αποτελέσματα_Σεναρίων!$T$4/(1+ι_Μοντέλο_Ελέγχου_α!$B$10)^A76</f>
        <v>649.61120497527622</v>
      </c>
      <c r="C76" s="30">
        <f t="shared" si="1"/>
        <v>11897.931751236192</v>
      </c>
      <c r="D76" s="42"/>
      <c r="E76" s="10"/>
      <c r="F76" s="10"/>
      <c r="G76" s="43"/>
      <c r="H76" s="9"/>
    </row>
    <row r="77" spans="1:8" x14ac:dyDescent="0.25">
      <c r="A77" s="29">
        <v>22</v>
      </c>
      <c r="B77" s="30">
        <f>ιγ_Αποτελέσματα_Σεναρίων!$T$4/(1+ι_Μοντέλο_Ελέγχου_α!$B$10)^A77</f>
        <v>636.8737303679178</v>
      </c>
      <c r="C77" s="30">
        <f t="shared" si="1"/>
        <v>12534.805481604109</v>
      </c>
      <c r="D77" s="42"/>
      <c r="E77" s="10"/>
      <c r="F77" s="10"/>
      <c r="G77" s="43"/>
      <c r="H77" s="9"/>
    </row>
    <row r="78" spans="1:8" x14ac:dyDescent="0.25">
      <c r="A78" s="29">
        <v>23</v>
      </c>
      <c r="B78" s="30">
        <f>ιγ_Αποτελέσματα_Σεναρίων!$T$4/(1+ι_Μοντέλο_Ελέγχου_α!$B$10)^A78</f>
        <v>624.38601016462542</v>
      </c>
      <c r="C78" s="30">
        <f t="shared" si="1"/>
        <v>13159.191491768735</v>
      </c>
      <c r="D78" s="42"/>
      <c r="E78" s="10"/>
      <c r="F78" s="10"/>
      <c r="G78" s="43"/>
      <c r="H78" s="9"/>
    </row>
    <row r="79" spans="1:8" x14ac:dyDescent="0.25">
      <c r="A79" s="29">
        <v>24</v>
      </c>
      <c r="B79" s="30">
        <f>ιγ_Αποτελέσματα_Σεναρίων!$T$4/(1+ι_Μοντέλο_Ελέγχου_α!$B$10)^A79</f>
        <v>612.14314722022095</v>
      </c>
      <c r="C79" s="30">
        <f t="shared" si="1"/>
        <v>13771.334638988956</v>
      </c>
      <c r="D79" s="42"/>
      <c r="E79" s="10"/>
      <c r="F79" s="10"/>
      <c r="G79" s="43"/>
      <c r="H79" s="9"/>
    </row>
    <row r="80" spans="1:8" x14ac:dyDescent="0.25">
      <c r="A80" s="29">
        <v>25</v>
      </c>
      <c r="B80" s="30">
        <f>ιγ_Αποτελέσματα_Σεναρίων!$T$4/(1+ι_Μοντέλο_Ελέγχου_α!$B$10)^A80</f>
        <v>600.14034041198136</v>
      </c>
      <c r="C80" s="30">
        <f t="shared" si="1"/>
        <v>14371.474979400937</v>
      </c>
      <c r="D80" s="42"/>
      <c r="E80" s="10"/>
      <c r="F80" s="10"/>
      <c r="G80" s="43"/>
      <c r="H80" s="9"/>
    </row>
    <row r="81" spans="1:8" x14ac:dyDescent="0.25">
      <c r="A81" s="9"/>
      <c r="B81" s="9"/>
      <c r="C81" s="9"/>
      <c r="D81" s="9"/>
      <c r="E81" s="9"/>
      <c r="F81" s="9"/>
      <c r="G81" s="9"/>
      <c r="H81" s="9"/>
    </row>
    <row r="82" spans="1:8" x14ac:dyDescent="0.25">
      <c r="A82" s="9"/>
      <c r="B82" s="9"/>
      <c r="C82" s="9"/>
      <c r="D82" s="9"/>
      <c r="E82" s="9"/>
      <c r="F82" s="9"/>
      <c r="G82" s="9"/>
      <c r="H82" s="9"/>
    </row>
    <row r="83" spans="1:8" x14ac:dyDescent="0.25">
      <c r="A83" s="284" t="s">
        <v>202</v>
      </c>
      <c r="B83" s="282"/>
      <c r="C83" s="282"/>
      <c r="D83" s="282"/>
      <c r="E83" s="282"/>
      <c r="F83" s="282"/>
      <c r="G83" s="282"/>
      <c r="H83" s="283"/>
    </row>
    <row r="84" spans="1:8" ht="26.25" customHeight="1" x14ac:dyDescent="0.25">
      <c r="A84" s="31" t="s">
        <v>0</v>
      </c>
      <c r="B84" s="31" t="s">
        <v>1</v>
      </c>
      <c r="C84" s="31" t="s">
        <v>2</v>
      </c>
      <c r="D84" s="31" t="s">
        <v>3</v>
      </c>
      <c r="E84" s="31" t="s">
        <v>195</v>
      </c>
      <c r="F84" s="31" t="s">
        <v>13</v>
      </c>
      <c r="G84" s="31" t="s">
        <v>23</v>
      </c>
      <c r="H84" s="31"/>
    </row>
    <row r="85" spans="1:8" x14ac:dyDescent="0.25">
      <c r="A85" s="32" t="str">
        <f>ι_Μοντέλο_Ελέγχου_α!$A$41</f>
        <v>Μπαταρία 5 kWh</v>
      </c>
      <c r="B85" s="33">
        <f>ι_Μοντέλο_Ελέγχου_α!$B$41</f>
        <v>5</v>
      </c>
      <c r="C85" s="33">
        <f>ι_Μοντέλο_Ελέγχου_α!$C$41</f>
        <v>150</v>
      </c>
      <c r="D85" s="34">
        <f>ι_Μοντέλο_Ελέγχου_α!$D$41</f>
        <v>2400</v>
      </c>
      <c r="E85" s="35">
        <f>IF(COUNTIF($G$89:$G$99,1)=0,INDEX($A$89:$A$99,MIN(ROWS($A$89:$A$99),MATCH(ι_Μοντέλο_Ελέγχου_α!$B$15,$B$89:$B$99,1)+1)),INDEX($A$89:$A$99,_xlfn.AGGREGATE(15,6,(ROW($F$89:$F$99)-ROW($F$89)+1)/(($G$89:$G$99=1)*($F$89:$F$99=_xlfn.AGGREGATE(15,6,$F$89:$F$99/($G$89:$G$99=1),1))),1)))</f>
        <v>3.96</v>
      </c>
      <c r="F85" s="35">
        <f>INDEX($C$89:$C$99,MATCH(E85,$A$89:$A$99,0))</f>
        <v>2522.8879999999999</v>
      </c>
      <c r="G85" s="35">
        <f>DPP_FromNPV($C$104:$C$129,$A$104:$A$129,$B$104:$B$129)</f>
        <v>6.2483269036682989</v>
      </c>
      <c r="H85" s="32"/>
    </row>
    <row r="86" spans="1:8" x14ac:dyDescent="0.25">
      <c r="A86" s="9"/>
      <c r="B86" s="9"/>
      <c r="C86" s="9"/>
      <c r="D86" s="42"/>
      <c r="E86" s="10"/>
      <c r="F86" s="10"/>
      <c r="G86" s="43"/>
      <c r="H86" s="9"/>
    </row>
    <row r="87" spans="1:8" x14ac:dyDescent="0.25">
      <c r="A87" s="281" t="s">
        <v>196</v>
      </c>
      <c r="B87" s="282"/>
      <c r="C87" s="282"/>
      <c r="D87" s="282"/>
      <c r="E87" s="282"/>
      <c r="F87" s="282"/>
      <c r="G87" s="283"/>
      <c r="H87" s="9"/>
    </row>
    <row r="88" spans="1:8" ht="26.25" customHeight="1" x14ac:dyDescent="0.25">
      <c r="A88" s="31" t="s">
        <v>28</v>
      </c>
      <c r="B88" s="31" t="s">
        <v>197</v>
      </c>
      <c r="C88" s="31" t="s">
        <v>13</v>
      </c>
      <c r="D88" s="36" t="s">
        <v>49</v>
      </c>
      <c r="E88" s="37" t="s">
        <v>19</v>
      </c>
      <c r="F88" s="37" t="s">
        <v>23</v>
      </c>
      <c r="G88" s="38" t="s">
        <v>198</v>
      </c>
      <c r="H88" s="9"/>
    </row>
    <row r="89" spans="1:8" x14ac:dyDescent="0.25">
      <c r="A89" s="29">
        <f>ι_Μοντέλο_Ελέγχου_α!$B$5*(ROW()-89)/10</f>
        <v>0</v>
      </c>
      <c r="B89" s="29">
        <f>AnnualSelfConsumptionWithBattery(A89,ι_Μοντέλο_Ελέγχου_α!$B$22:$B$33,ι_Μοντέλο_Ελέγχου_α!$C$22:$C$33,ι_Μοντέλο_Ελέγχου_α!$D$22:$D$33,ι_Μοντέλο_Ελέγχου_α!$C$41)</f>
        <v>0</v>
      </c>
      <c r="C89" s="29">
        <f>ι_Μοντέλο_Ελέγχου_α!$C$34-B89</f>
        <v>7500</v>
      </c>
      <c r="D89" s="30">
        <f>A89*ι_Μοντέλο_Ελέγχου_α!$B$7+ι_Μοντέλο_Ελέγχου_α!$D$41</f>
        <v>2400</v>
      </c>
      <c r="E89" s="39">
        <f>B89*ι_Μοντέλο_Ελέγχου_α!$B$8+MAX(A89*ι_Μοντέλο_Ελέγχου_α!$B$14-B89,0)*ι_Μοντέλο_Ελέγχου_α!$B$9</f>
        <v>0</v>
      </c>
      <c r="F89" s="39"/>
      <c r="G89" s="40">
        <f>IF(AND(C89&lt;=ι_Μοντέλο_Ελέγχου_α!$B$16,ISNUMBER(F89),F89&lt;=$B$4),1,0)</f>
        <v>0</v>
      </c>
      <c r="H89" s="9"/>
    </row>
    <row r="90" spans="1:8" x14ac:dyDescent="0.25">
      <c r="A90" s="29">
        <f>ι_Μοντέλο_Ελέγχου_α!$B$5*(ROW()-89)/10</f>
        <v>0.99</v>
      </c>
      <c r="B90" s="29">
        <f>AnnualSelfConsumptionWithBattery(A90,ι_Μοντέλο_Ελέγχου_α!$B$22:$B$33,ι_Μοντέλο_Ελέγχου_α!$C$22:$C$33,ι_Μοντέλο_Ελέγχου_α!$D$22:$D$33,ι_Μοντέλο_Ελέγχου_α!$C$41)</f>
        <v>1430.6490000000001</v>
      </c>
      <c r="C90" s="29">
        <f>ι_Μοντέλο_Ελέγχου_α!$C$34-B90</f>
        <v>6069.3509999999997</v>
      </c>
      <c r="D90" s="30">
        <f>A90*ι_Μοντέλο_Ελέγχου_α!$B$7+ι_Μοντέλο_Ελέγχου_α!$D$41</f>
        <v>3312.8</v>
      </c>
      <c r="E90" s="39">
        <f>B90*ι_Μοντέλο_Ελέγχου_α!$B$8+MAX(A90*ι_Μοντέλο_Ελέγχου_α!$B$14-B90,0)*ι_Μοντέλο_Ελέγχου_α!$B$9</f>
        <v>286.12980000000005</v>
      </c>
      <c r="F90" s="39">
        <f>-LN(1-D90*ι_Μοντέλο_Ελέγχου_α!$B$10/E90)/LN(1+ι_Μοντέλο_Ελέγχου_α!$B$10)</f>
        <v>13.300851684011469</v>
      </c>
      <c r="G90" s="40">
        <f>IF(AND(C90&lt;=ι_Μοντέλο_Ελέγχου_α!$B$16,ISNUMBER(F90),F90&lt;=$B$4),1,0)</f>
        <v>0</v>
      </c>
      <c r="H90" s="9"/>
    </row>
    <row r="91" spans="1:8" x14ac:dyDescent="0.25">
      <c r="A91" s="29">
        <f>ι_Μοντέλο_Ελέγχου_α!$B$5*(ROW()-89)/10</f>
        <v>1.98</v>
      </c>
      <c r="B91" s="29">
        <f>AnnualSelfConsumptionWithBattery(A91,ι_Μοντέλο_Ελέγχου_α!$B$22:$B$33,ι_Μοντέλο_Ελέγχου_α!$C$22:$C$33,ι_Μοντέλο_Ελέγχου_α!$D$22:$D$33,ι_Μοντέλο_Ελέγχου_α!$C$41)</f>
        <v>2861.2980000000002</v>
      </c>
      <c r="C91" s="29">
        <f>ι_Μοντέλο_Ελέγχου_α!$C$34-B91</f>
        <v>4638.7019999999993</v>
      </c>
      <c r="D91" s="30">
        <f>A91*ι_Μοντέλο_Ελέγχου_α!$B$7+ι_Μοντέλο_Ελέγχου_α!$D$41</f>
        <v>4225.6000000000004</v>
      </c>
      <c r="E91" s="39">
        <f>B91*ι_Μοντέλο_Ελέγχου_α!$B$8+MAX(A91*ι_Μοντέλο_Ελέγχου_α!$B$14-B91,0)*ι_Μοντέλο_Ελέγχου_α!$B$9</f>
        <v>572.25960000000009</v>
      </c>
      <c r="F91" s="39">
        <f>-LN(1-D91*ι_Μοντέλο_Ελέγχου_α!$B$10/E91)/LN(1+ι_Μοντέλο_Ελέγχου_α!$B$10)</f>
        <v>8.0693674252962957</v>
      </c>
      <c r="G91" s="40">
        <f>IF(AND(C91&lt;=ι_Μοντέλο_Ελέγχου_α!$B$16,ISNUMBER(F91),F91&lt;=$B$4),1,0)</f>
        <v>0</v>
      </c>
      <c r="H91" s="9"/>
    </row>
    <row r="92" spans="1:8" x14ac:dyDescent="0.25">
      <c r="A92" s="29">
        <f>ι_Μοντέλο_Ελέγχου_α!$B$5*(ROW()-89)/10</f>
        <v>2.97</v>
      </c>
      <c r="B92" s="29">
        <f>AnnualSelfConsumptionWithBattery(A92,ι_Μοντέλο_Ελέγχου_α!$B$22:$B$33,ι_Μοντέλο_Ελέγχου_α!$C$22:$C$33,ι_Μοντέλο_Ελέγχου_α!$D$22:$D$33,ι_Μοντέλο_Ελέγχου_α!$C$41)</f>
        <v>4232.5330000000004</v>
      </c>
      <c r="C92" s="29">
        <f>ι_Μοντέλο_Ελέγχου_α!$C$34-B92</f>
        <v>3267.4669999999996</v>
      </c>
      <c r="D92" s="30">
        <f>A92*ι_Μοντέλο_Ελέγχου_α!$B$7+ι_Μοντέλο_Ελέγχου_α!$D$41</f>
        <v>5138.3999999999996</v>
      </c>
      <c r="E92" s="39">
        <f>B92*ι_Μοντέλο_Ελέγχου_α!$B$8+MAX(A92*ι_Μοντέλο_Ελέγχου_α!$B$14-B92,0)*ι_Μοντέλο_Ελέγχου_α!$B$9</f>
        <v>850.07144000000017</v>
      </c>
      <c r="F92" s="39">
        <f>-LN(1-D92*ι_Μοντέλο_Ελέγχου_α!$B$10/E92)/LN(1+ι_Μοντέλο_Ελέγχου_α!$B$10)</f>
        <v>6.5066658539956732</v>
      </c>
      <c r="G92" s="40">
        <f>IF(AND(C92&lt;=ι_Μοντέλο_Ελέγχου_α!$B$16,ISNUMBER(F92),F92&lt;=$B$4),1,0)</f>
        <v>0</v>
      </c>
      <c r="H92" s="9"/>
    </row>
    <row r="93" spans="1:8" x14ac:dyDescent="0.25">
      <c r="A93" s="29">
        <f>ι_Μοντέλο_Ελέγχου_α!$B$5*(ROW()-89)/10</f>
        <v>3.96</v>
      </c>
      <c r="B93" s="29">
        <f>AnnualSelfConsumptionWithBattery(A93,ι_Μοντέλο_Ελέγχου_α!$B$22:$B$33,ι_Μοντέλο_Ελέγχου_α!$C$22:$C$33,ι_Μοντέλο_Ελέγχου_α!$D$22:$D$33,ι_Μοντέλο_Ελέγχου_α!$C$41)</f>
        <v>4977.1120000000001</v>
      </c>
      <c r="C93" s="29">
        <f>ι_Μοντέλο_Ελέγχου_α!$C$34-B93</f>
        <v>2522.8879999999999</v>
      </c>
      <c r="D93" s="30">
        <f>A93*ι_Μοντέλο_Ελέγχου_α!$B$7+ι_Μοντέλο_Ελέγχου_α!$D$41</f>
        <v>6051.2</v>
      </c>
      <c r="E93" s="39">
        <f>B93*ι_Μοντέλο_Ελέγχου_α!$B$8+MAX(A93*ι_Μοντέλο_Ελέγχου_α!$B$14-B93,0)*ι_Μοντέλο_Ελέγχου_α!$B$9</f>
        <v>1040.1514400000001</v>
      </c>
      <c r="F93" s="39">
        <f>-LN(1-D93*ι_Μοντέλο_Ελέγχου_α!$B$10/E93)/LN(1+ι_Μοντέλο_Ελέγχου_α!$B$10)</f>
        <v>6.2464848657420795</v>
      </c>
      <c r="G93" s="40">
        <f>IF(AND(C93&lt;=ι_Μοντέλο_Ελέγχου_α!$B$16,ISNUMBER(F93),F93&lt;=$B$4),1,0)</f>
        <v>1</v>
      </c>
      <c r="H93" s="9"/>
    </row>
    <row r="94" spans="1:8" x14ac:dyDescent="0.25">
      <c r="A94" s="29">
        <f>ι_Μοντέλο_Ελέγχου_α!$B$5*(ROW()-89)/10</f>
        <v>4.95</v>
      </c>
      <c r="B94" s="29">
        <f>AnnualSelfConsumptionWithBattery(A94,ι_Μοντέλο_Ελέγχου_α!$B$22:$B$33,ι_Μοντέλο_Ελέγχου_α!$C$22:$C$33,ι_Μοντέλο_Ελέγχου_α!$D$22:$D$33,ι_Μοντέλο_Ελέγχου_α!$C$41)</f>
        <v>5479.09</v>
      </c>
      <c r="C94" s="29">
        <f>ι_Μοντέλο_Ελέγχου_α!$C$34-B94</f>
        <v>2020.9099999999999</v>
      </c>
      <c r="D94" s="30">
        <f>A94*ι_Μοντέλο_Ελέγχου_α!$B$7+ι_Μοντέλο_Ελέγχου_α!$D$41</f>
        <v>6964</v>
      </c>
      <c r="E94" s="39">
        <f>B94*ι_Μοντέλο_Ελέγχου_α!$B$8+MAX(A94*ι_Μοντέλο_Ελέγχου_α!$B$14-B94,0)*ι_Μοντέλο_Ελέγχου_α!$B$9</f>
        <v>1196.2673</v>
      </c>
      <c r="F94" s="39">
        <f>-LN(1-D94*ι_Μοντέλο_Ελέγχου_α!$B$10/E94)/LN(1+ι_Μοντέλο_Ελέγχου_α!$B$10)</f>
        <v>6.2508591415835388</v>
      </c>
      <c r="G94" s="40">
        <f>IF(AND(C94&lt;=ι_Μοντέλο_Ελέγχου_α!$B$16,ISNUMBER(F94),F94&lt;=$B$4),1,0)</f>
        <v>1</v>
      </c>
      <c r="H94" s="9"/>
    </row>
    <row r="95" spans="1:8" x14ac:dyDescent="0.25">
      <c r="A95" s="29">
        <f>ι_Μοντέλο_Ελέγχου_α!$B$5*(ROW()-89)/10</f>
        <v>5.94</v>
      </c>
      <c r="B95" s="29">
        <f>AnnualSelfConsumptionWithBattery(A95,ι_Μοντέλο_Ελέγχου_α!$B$22:$B$33,ι_Μοντέλο_Ελέγχου_α!$C$22:$C$33,ι_Μοντέλο_Ελέγχου_α!$D$22:$D$33,ι_Μοντέλο_Ελέγχου_α!$C$41)</f>
        <v>5822.5320000000002</v>
      </c>
      <c r="C95" s="29">
        <f>ι_Μοντέλο_Ελέγχου_α!$C$34-B95</f>
        <v>1677.4679999999998</v>
      </c>
      <c r="D95" s="30">
        <f>A95*ι_Μοντέλο_Ελέγχου_α!$B$7+ι_Μοντέλο_Ελέγχου_α!$D$41</f>
        <v>7876.8</v>
      </c>
      <c r="E95" s="39">
        <f>B95*ι_Μοντέλο_Ελέγχου_α!$B$8+MAX(A95*ι_Μοντέλο_Ελέγχου_α!$B$14-B95,0)*ι_Μοντέλο_Ελέγχου_α!$B$9</f>
        <v>1330.18812</v>
      </c>
      <c r="F95" s="39">
        <f>-LN(1-D95*ι_Μοντέλο_Ελέγχου_α!$B$10/E95)/LN(1+ι_Μοντέλο_Ελέγχου_α!$B$10)</f>
        <v>6.3654393510664233</v>
      </c>
      <c r="G95" s="40">
        <f>IF(AND(C95&lt;=ι_Μοντέλο_Ελέγχου_α!$B$16,ISNUMBER(F95),F95&lt;=$B$4),1,0)</f>
        <v>1</v>
      </c>
      <c r="H95" s="9"/>
    </row>
    <row r="96" spans="1:8" x14ac:dyDescent="0.25">
      <c r="A96" s="29">
        <f>ι_Μοντέλο_Ελέγχου_α!$B$5*(ROW()-89)/10</f>
        <v>6.93</v>
      </c>
      <c r="B96" s="29">
        <f>AnnualSelfConsumptionWithBattery(A96,ι_Μοντέλο_Ελέγχου_α!$B$22:$B$33,ι_Μοντέλο_Ελέγχου_α!$C$22:$C$33,ι_Μοντέλο_Ελέγχου_α!$D$22:$D$33,ι_Μοντέλο_Ελέγχου_α!$C$41)</f>
        <v>5966.3819999999996</v>
      </c>
      <c r="C96" s="29">
        <f>ι_Μοντέλο_Ελέγχου_α!$C$34-B96</f>
        <v>1533.6180000000004</v>
      </c>
      <c r="D96" s="30">
        <f>A96*ι_Μοντέλο_Ελέγχου_α!$B$7+ι_Μοντέλο_Ελέγχου_α!$D$41</f>
        <v>8789.5999999999985</v>
      </c>
      <c r="E96" s="39">
        <f>B96*ι_Μοντέλο_Ελέγχου_α!$B$8+MAX(A96*ι_Μοντέλο_Ελέγχου_α!$B$14-B96,0)*ι_Μοντέλο_Ελέγχου_α!$B$9</f>
        <v>1436.16606</v>
      </c>
      <c r="F96" s="39">
        <f>-LN(1-D96*ι_Μοντέλο_Ελέγχου_α!$B$10/E96)/LN(1+ι_Μοντέλο_Ελέγχου_α!$B$10)</f>
        <v>6.5934965464250777</v>
      </c>
      <c r="G96" s="40">
        <f>IF(AND(C96&lt;=ι_Μοντέλο_Ελέγχου_α!$B$16,ISNUMBER(F96),F96&lt;=$B$4),1,0)</f>
        <v>1</v>
      </c>
      <c r="H96" s="9"/>
    </row>
    <row r="97" spans="1:8" x14ac:dyDescent="0.25">
      <c r="A97" s="29">
        <f>ι_Μοντέλο_Ελέγχου_α!$B$5*(ROW()-89)/10</f>
        <v>7.92</v>
      </c>
      <c r="B97" s="29">
        <f>AnnualSelfConsumptionWithBattery(A97,ι_Μοντέλο_Ελέγχου_α!$B$22:$B$33,ι_Μοντέλο_Ελέγχου_α!$C$22:$C$33,ι_Μοντέλο_Ελέγχου_α!$D$22:$D$33,ι_Μοντέλο_Ελέγχου_α!$C$41)</f>
        <v>5980</v>
      </c>
      <c r="C97" s="29">
        <f>ι_Μοντέλο_Ελέγχου_α!$C$34-B97</f>
        <v>1520</v>
      </c>
      <c r="D97" s="30">
        <f>A97*ι_Μοντέλο_Ελέγχου_α!$B$7+ι_Μοντέλο_Ελέγχου_α!$D$41</f>
        <v>9702.4</v>
      </c>
      <c r="E97" s="39">
        <f>B97*ι_Μοντέλο_Ελέγχου_α!$B$8+MAX(A97*ι_Μοντέλο_Ελέγχου_α!$B$14-B97,0)*ι_Μοντέλο_Ελέγχου_α!$B$9</f>
        <v>1523.9115200000001</v>
      </c>
      <c r="F97" s="39">
        <f>-LN(1-D97*ι_Μοντέλο_Ελέγχου_α!$B$10/E97)/LN(1+ι_Μοντέλο_Ελέγχου_α!$B$10)</f>
        <v>6.8780811440945051</v>
      </c>
      <c r="G97" s="40">
        <f>IF(AND(C97&lt;=ι_Μοντέλο_Ελέγχου_α!$B$16,ISNUMBER(F97),F97&lt;=$B$4),1,0)</f>
        <v>0</v>
      </c>
      <c r="H97" s="9"/>
    </row>
    <row r="98" spans="1:8" x14ac:dyDescent="0.25">
      <c r="A98" s="29">
        <f>ι_Μοντέλο_Ελέγχου_α!$B$5*(ROW()-89)/10</f>
        <v>8.91</v>
      </c>
      <c r="B98" s="29">
        <f>AnnualSelfConsumptionWithBattery(A98,ι_Μοντέλο_Ελέγχου_α!$B$22:$B$33,ι_Μοντέλο_Ελέγχου_α!$C$22:$C$33,ι_Μοντέλο_Ελέγχου_α!$D$22:$D$33,ι_Μοντέλο_Ελέγχου_α!$C$41)</f>
        <v>5980</v>
      </c>
      <c r="C98" s="29">
        <f>ι_Μοντέλο_Ελέγχου_α!$C$34-B98</f>
        <v>1520</v>
      </c>
      <c r="D98" s="30">
        <f>A98*ι_Μοντέλο_Ελέγχου_α!$B$7+ι_Μοντέλο_Ελέγχου_α!$D$41</f>
        <v>10615.199999999999</v>
      </c>
      <c r="E98" s="39">
        <f>B98*ι_Μοντέλο_Ελέγχου_α!$B$8+MAX(A98*ι_Μοντέλο_Ελέγχου_α!$B$14-B98,0)*ι_Μοντέλο_Ελέγχου_α!$B$9</f>
        <v>1609.7504600000002</v>
      </c>
      <c r="F98" s="39">
        <f>-LN(1-D98*ι_Μοντέλο_Ελέγχου_α!$B$10/E98)/LN(1+ι_Μοντέλο_Ελέγχου_α!$B$10)</f>
        <v>7.1421108439970222</v>
      </c>
      <c r="G98" s="40">
        <f>IF(AND(C98&lt;=ι_Μοντέλο_Ελέγχου_α!$B$16,ISNUMBER(F98),F98&lt;=$B$4),1,0)</f>
        <v>0</v>
      </c>
      <c r="H98" s="9"/>
    </row>
    <row r="99" spans="1:8" x14ac:dyDescent="0.25">
      <c r="A99" s="29">
        <f>ι_Μοντέλο_Ελέγχου_α!$B$5*(ROW()-89)/10</f>
        <v>9.9</v>
      </c>
      <c r="B99" s="29">
        <f>AnnualSelfConsumptionWithBattery(A99,ι_Μοντέλο_Ελέγχου_α!$B$22:$B$33,ι_Μοντέλο_Ελέγχου_α!$C$22:$C$33,ι_Μοντέλο_Ελέγχου_α!$D$22:$D$33,ι_Μοντέλο_Ελέγχου_α!$C$41)</f>
        <v>5980</v>
      </c>
      <c r="C99" s="29">
        <f>ι_Μοντέλο_Ελέγχου_α!$C$34-B99</f>
        <v>1520</v>
      </c>
      <c r="D99" s="30">
        <f>A99*ι_Μοντέλο_Ελέγχου_α!$B$7+ι_Μοντέλο_Ελέγχου_α!$D$41</f>
        <v>11528</v>
      </c>
      <c r="E99" s="39">
        <f>B99*ι_Μοντέλο_Ελέγχου_α!$B$8+MAX(A99*ι_Μοντέλο_Ελέγχου_α!$B$14-B99,0)*ι_Μοντέλο_Ελέγχου_α!$B$9</f>
        <v>1695.5894000000001</v>
      </c>
      <c r="F99" s="39">
        <f>-LN(1-D99*ι_Μοντέλο_Ελέγχου_α!$B$10/E99)/LN(1+ι_Μοντέλο_Ελέγχου_α!$B$10)</f>
        <v>7.380591286669544</v>
      </c>
      <c r="G99" s="40">
        <f>IF(AND(C99&lt;=ι_Μοντέλο_Ελέγχου_α!$B$16,ISNUMBER(F99),F99&lt;=$B$4),1,0)</f>
        <v>0</v>
      </c>
      <c r="H99" s="9"/>
    </row>
    <row r="100" spans="1:8" x14ac:dyDescent="0.25">
      <c r="A100" s="9"/>
      <c r="B100" s="9"/>
      <c r="C100" s="9"/>
      <c r="D100" s="42"/>
      <c r="E100" s="10"/>
      <c r="F100" s="10"/>
      <c r="G100" s="43"/>
      <c r="H100" s="9"/>
    </row>
    <row r="101" spans="1:8" x14ac:dyDescent="0.25">
      <c r="A101" s="9"/>
      <c r="B101" s="9"/>
      <c r="C101" s="9"/>
      <c r="D101" s="42"/>
      <c r="E101" s="10"/>
      <c r="F101" s="10"/>
      <c r="G101" s="43"/>
      <c r="H101" s="9"/>
    </row>
    <row r="102" spans="1:8" x14ac:dyDescent="0.25">
      <c r="A102" s="281" t="s">
        <v>199</v>
      </c>
      <c r="B102" s="282"/>
      <c r="C102" s="283"/>
      <c r="D102" s="42"/>
      <c r="E102" s="10"/>
      <c r="F102" s="10"/>
      <c r="G102" s="43"/>
      <c r="H102" s="9"/>
    </row>
    <row r="103" spans="1:8" x14ac:dyDescent="0.25">
      <c r="A103" s="31" t="s">
        <v>29</v>
      </c>
      <c r="B103" s="31" t="s">
        <v>200</v>
      </c>
      <c r="C103" s="31" t="s">
        <v>201</v>
      </c>
      <c r="D103" s="42"/>
      <c r="E103" s="10"/>
      <c r="F103" s="10"/>
      <c r="G103" s="43"/>
      <c r="H103" s="9"/>
    </row>
    <row r="104" spans="1:8" x14ac:dyDescent="0.25">
      <c r="A104" s="29">
        <v>0</v>
      </c>
      <c r="B104" s="30">
        <v>0</v>
      </c>
      <c r="C104" s="30">
        <f>-ιγ_Αποτελέσματα_Σεναρίων!$H$5</f>
        <v>-6051.2</v>
      </c>
      <c r="D104" s="42"/>
      <c r="E104" s="10"/>
      <c r="F104" s="10"/>
      <c r="G104" s="43"/>
      <c r="H104" s="9"/>
    </row>
    <row r="105" spans="1:8" x14ac:dyDescent="0.25">
      <c r="A105" s="29">
        <v>1</v>
      </c>
      <c r="B105" s="30">
        <f>ιγ_Αποτελέσματα_Σεναρίων!$T$5/(1+ι_Μοντέλο_Ελέγχου_α!$B$10)^A105</f>
        <v>1019.7563137254903</v>
      </c>
      <c r="C105" s="30">
        <f t="shared" ref="C105:C129" si="2">C104+B105</f>
        <v>-5031.4436862745097</v>
      </c>
      <c r="D105" s="42"/>
      <c r="E105" s="10"/>
      <c r="F105" s="10"/>
      <c r="G105" s="43"/>
      <c r="H105" s="9"/>
    </row>
    <row r="106" spans="1:8" x14ac:dyDescent="0.25">
      <c r="A106" s="29">
        <v>2</v>
      </c>
      <c r="B106" s="30">
        <f>ιγ_Αποτελέσματα_Σεναρίων!$T$5/(1+ι_Μοντέλο_Ελέγχου_α!$B$10)^A106</f>
        <v>999.76109188773557</v>
      </c>
      <c r="C106" s="30">
        <f t="shared" si="2"/>
        <v>-4031.6825943867743</v>
      </c>
      <c r="D106" s="42"/>
      <c r="E106" s="10"/>
      <c r="F106" s="10"/>
      <c r="G106" s="43"/>
      <c r="H106" s="9"/>
    </row>
    <row r="107" spans="1:8" x14ac:dyDescent="0.25">
      <c r="A107" s="29">
        <v>3</v>
      </c>
      <c r="B107" s="30">
        <f>ιγ_Αποτελέσματα_Σεναρίων!$T$5/(1+ι_Μοντέλο_Ελέγχου_α!$B$10)^A107</f>
        <v>980.15793322327022</v>
      </c>
      <c r="C107" s="30">
        <f t="shared" si="2"/>
        <v>-3051.5246611635039</v>
      </c>
      <c r="D107" s="42"/>
      <c r="E107" s="10"/>
      <c r="F107" s="10"/>
      <c r="G107" s="43"/>
      <c r="H107" s="9"/>
    </row>
    <row r="108" spans="1:8" x14ac:dyDescent="0.25">
      <c r="A108" s="29">
        <v>4</v>
      </c>
      <c r="B108" s="30">
        <f>ιγ_Αποτελέσματα_Σεναρίων!$T$5/(1+ι_Μοντέλο_Ελέγχου_α!$B$10)^A108</f>
        <v>960.93915021889234</v>
      </c>
      <c r="C108" s="30">
        <f t="shared" si="2"/>
        <v>-2090.5855109446115</v>
      </c>
      <c r="D108" s="42"/>
      <c r="E108" s="10"/>
      <c r="F108" s="10"/>
      <c r="G108" s="43"/>
      <c r="H108" s="9"/>
    </row>
    <row r="109" spans="1:8" x14ac:dyDescent="0.25">
      <c r="A109" s="29">
        <v>5</v>
      </c>
      <c r="B109" s="30">
        <f>ιγ_Αποτελέσματα_Σεναρίων!$T$5/(1+ι_Μοντέλο_Ελέγχου_α!$B$10)^A109</f>
        <v>942.0972060969533</v>
      </c>
      <c r="C109" s="30">
        <f t="shared" si="2"/>
        <v>-1148.4883048476581</v>
      </c>
      <c r="D109" s="42"/>
      <c r="E109" s="10"/>
      <c r="F109" s="10"/>
      <c r="G109" s="43"/>
      <c r="H109" s="9"/>
    </row>
    <row r="110" spans="1:8" x14ac:dyDescent="0.25">
      <c r="A110" s="29">
        <v>6</v>
      </c>
      <c r="B110" s="30">
        <f>ιγ_Αποτελέσματα_Σεναρίων!$T$5/(1+ι_Μοντέλο_Ελέγχου_α!$B$10)^A110</f>
        <v>923.62471185975801</v>
      </c>
      <c r="C110" s="30">
        <f t="shared" si="2"/>
        <v>-224.86359298790012</v>
      </c>
      <c r="D110" s="42"/>
      <c r="E110" s="10"/>
      <c r="F110" s="10"/>
      <c r="G110" s="43"/>
      <c r="H110" s="9"/>
    </row>
    <row r="111" spans="1:8" x14ac:dyDescent="0.25">
      <c r="A111" s="29">
        <v>7</v>
      </c>
      <c r="B111" s="30">
        <f>ιγ_Αποτελέσματα_Σεναρίων!$T$5/(1+ι_Μοντέλο_Ελέγχου_α!$B$10)^A111</f>
        <v>905.51442339191988</v>
      </c>
      <c r="C111" s="30">
        <f t="shared" si="2"/>
        <v>680.65083040401976</v>
      </c>
      <c r="D111" s="42"/>
      <c r="E111" s="10"/>
      <c r="F111" s="10"/>
      <c r="G111" s="43"/>
      <c r="H111" s="9"/>
    </row>
    <row r="112" spans="1:8" x14ac:dyDescent="0.25">
      <c r="A112" s="29">
        <v>8</v>
      </c>
      <c r="B112" s="30">
        <f>ιγ_Αποτελέσματα_Σεναρίων!$T$5/(1+ι_Μοντέλο_Ελέγχου_α!$B$10)^A112</f>
        <v>887.75923861952913</v>
      </c>
      <c r="C112" s="30">
        <f t="shared" si="2"/>
        <v>1568.4100690235489</v>
      </c>
      <c r="D112" s="42"/>
      <c r="E112" s="10"/>
      <c r="F112" s="10"/>
      <c r="G112" s="43"/>
      <c r="H112" s="9"/>
    </row>
    <row r="113" spans="1:8" x14ac:dyDescent="0.25">
      <c r="A113" s="29">
        <v>9</v>
      </c>
      <c r="B113" s="30">
        <f>ιγ_Αποτελέσματα_Σεναρίων!$T$5/(1+ι_Μοντέλο_Ελέγχου_α!$B$10)^A113</f>
        <v>870.35219472502865</v>
      </c>
      <c r="C113" s="30">
        <f t="shared" si="2"/>
        <v>2438.7622637485774</v>
      </c>
      <c r="D113" s="42"/>
      <c r="E113" s="10"/>
      <c r="F113" s="10"/>
      <c r="G113" s="43"/>
      <c r="H113" s="9"/>
    </row>
    <row r="114" spans="1:8" x14ac:dyDescent="0.25">
      <c r="A114" s="29">
        <v>10</v>
      </c>
      <c r="B114" s="30">
        <f>ιγ_Αποτελέσματα_Σεναρίων!$T$5/(1+ι_Μοντέλο_Ελέγχου_α!$B$10)^A114</f>
        <v>853.28646541669468</v>
      </c>
      <c r="C114" s="30">
        <f t="shared" si="2"/>
        <v>3292.0487291652721</v>
      </c>
      <c r="D114" s="42"/>
      <c r="E114" s="10"/>
      <c r="F114" s="10"/>
      <c r="G114" s="43"/>
      <c r="H114" s="9"/>
    </row>
    <row r="115" spans="1:8" x14ac:dyDescent="0.25">
      <c r="A115" s="29">
        <v>11</v>
      </c>
      <c r="B115" s="30">
        <f>ιγ_Αποτελέσματα_Σεναρίων!$T$5/(1+ι_Μοντέλο_Ελέγχου_α!$B$10)^A115</f>
        <v>836.55535825166157</v>
      </c>
      <c r="C115" s="30">
        <f t="shared" si="2"/>
        <v>4128.6040874169339</v>
      </c>
      <c r="D115" s="42"/>
      <c r="E115" s="10"/>
      <c r="F115" s="10"/>
      <c r="G115" s="43"/>
      <c r="H115" s="9"/>
    </row>
    <row r="116" spans="1:8" x14ac:dyDescent="0.25">
      <c r="A116" s="29">
        <v>12</v>
      </c>
      <c r="B116" s="30">
        <f>ιγ_Αποτελέσματα_Σεναρίων!$T$5/(1+ι_Μοντέλο_Ελέγχου_α!$B$10)^A116</f>
        <v>820.15231201143285</v>
      </c>
      <c r="C116" s="30">
        <f t="shared" si="2"/>
        <v>4948.7563994283664</v>
      </c>
      <c r="D116" s="42"/>
      <c r="E116" s="10"/>
      <c r="F116" s="10"/>
      <c r="G116" s="43"/>
      <c r="H116" s="9"/>
    </row>
    <row r="117" spans="1:8" x14ac:dyDescent="0.25">
      <c r="A117" s="29">
        <v>13</v>
      </c>
      <c r="B117" s="30">
        <f>ιγ_Αποτελέσματα_Σεναρίων!$T$5/(1+ι_Μοντέλο_Ελέγχου_α!$B$10)^A117</f>
        <v>804.0708941288558</v>
      </c>
      <c r="C117" s="30">
        <f t="shared" si="2"/>
        <v>5752.8272935572222</v>
      </c>
      <c r="D117" s="42"/>
      <c r="E117" s="10"/>
      <c r="F117" s="10"/>
      <c r="G117" s="43"/>
      <c r="H117" s="9"/>
    </row>
    <row r="118" spans="1:8" x14ac:dyDescent="0.25">
      <c r="A118" s="29">
        <v>14</v>
      </c>
      <c r="B118" s="30">
        <f>ιγ_Αποτελέσματα_Σεναρίων!$T$5/(1+ι_Μοντέλο_Ελέγχου_α!$B$10)^A118</f>
        <v>788.30479816554475</v>
      </c>
      <c r="C118" s="30">
        <f t="shared" si="2"/>
        <v>6541.1320917227667</v>
      </c>
      <c r="D118" s="42"/>
      <c r="E118" s="10"/>
      <c r="F118" s="10"/>
      <c r="G118" s="43"/>
      <c r="H118" s="9"/>
    </row>
    <row r="119" spans="1:8" x14ac:dyDescent="0.25">
      <c r="A119" s="29">
        <v>15</v>
      </c>
      <c r="B119" s="30">
        <f>ιγ_Αποτελέσματα_Σεναρίων!$T$5/(1+ι_Μοντέλο_Ελέγχου_α!$B$10)^A119</f>
        <v>772.84784133876963</v>
      </c>
      <c r="C119" s="30">
        <f t="shared" si="2"/>
        <v>7313.979933061536</v>
      </c>
      <c r="D119" s="42"/>
      <c r="E119" s="10"/>
      <c r="F119" s="10"/>
      <c r="G119" s="43"/>
      <c r="H119" s="9"/>
    </row>
    <row r="120" spans="1:8" x14ac:dyDescent="0.25">
      <c r="A120" s="29">
        <v>16</v>
      </c>
      <c r="B120" s="30">
        <f>ιγ_Αποτελέσματα_Σεναρίων!$T$5/(1+ι_Μοντέλο_Ελέγχου_α!$B$10)^A120</f>
        <v>757.69396209683282</v>
      </c>
      <c r="C120" s="30">
        <f t="shared" si="2"/>
        <v>8071.6738951583684</v>
      </c>
      <c r="D120" s="42"/>
      <c r="E120" s="10"/>
      <c r="F120" s="10"/>
      <c r="G120" s="43"/>
      <c r="H120" s="9"/>
    </row>
    <row r="121" spans="1:8" x14ac:dyDescent="0.25">
      <c r="A121" s="29">
        <v>17</v>
      </c>
      <c r="B121" s="30">
        <f>ιγ_Αποτελέσματα_Σεναρίων!$T$5/(1+ι_Μοντέλο_Ελέγχου_α!$B$10)^A121</f>
        <v>742.83721774199284</v>
      </c>
      <c r="C121" s="30">
        <f t="shared" si="2"/>
        <v>8814.5111129003617</v>
      </c>
      <c r="D121" s="42"/>
      <c r="E121" s="10"/>
      <c r="F121" s="10"/>
      <c r="G121" s="43"/>
      <c r="H121" s="9"/>
    </row>
    <row r="122" spans="1:8" x14ac:dyDescent="0.25">
      <c r="A122" s="29">
        <v>18</v>
      </c>
      <c r="B122" s="30">
        <f>ιγ_Αποτελέσματα_Σεναρίων!$T$5/(1+ι_Μοντέλο_Ελέγχου_α!$B$10)^A122</f>
        <v>728.27178209999306</v>
      </c>
      <c r="C122" s="30">
        <f t="shared" si="2"/>
        <v>9542.782895000355</v>
      </c>
      <c r="D122" s="42"/>
      <c r="E122" s="10"/>
      <c r="F122" s="10"/>
      <c r="G122" s="43"/>
      <c r="H122" s="9"/>
    </row>
    <row r="123" spans="1:8" x14ac:dyDescent="0.25">
      <c r="A123" s="29">
        <v>19</v>
      </c>
      <c r="B123" s="30">
        <f>ιγ_Αποτελέσματα_Σεναρίων!$T$5/(1+ι_Μοντέλο_Ελέγχου_α!$B$10)^A123</f>
        <v>713.99194323528741</v>
      </c>
      <c r="C123" s="30">
        <f t="shared" si="2"/>
        <v>10256.774838235642</v>
      </c>
      <c r="D123" s="42"/>
      <c r="E123" s="10"/>
      <c r="F123" s="10"/>
      <c r="G123" s="43"/>
      <c r="H123" s="9"/>
    </row>
    <row r="124" spans="1:8" x14ac:dyDescent="0.25">
      <c r="A124" s="29">
        <v>20</v>
      </c>
      <c r="B124" s="30">
        <f>ιγ_Αποτελέσματα_Σεναρίων!$T$5/(1+ι_Μοντέλο_Ελέγχου_α!$B$10)^A124</f>
        <v>699.99210121106603</v>
      </c>
      <c r="C124" s="30">
        <f t="shared" si="2"/>
        <v>10956.766939446708</v>
      </c>
      <c r="D124" s="42"/>
      <c r="E124" s="10"/>
      <c r="F124" s="10"/>
      <c r="G124" s="43"/>
      <c r="H124" s="9"/>
    </row>
    <row r="125" spans="1:8" x14ac:dyDescent="0.25">
      <c r="A125" s="29">
        <v>21</v>
      </c>
      <c r="B125" s="30">
        <f>ιγ_Αποτελέσματα_Σεναρίων!$T$5/(1+ι_Μοντέλο_Ελέγχου_α!$B$10)^A125</f>
        <v>686.26676589320198</v>
      </c>
      <c r="C125" s="30">
        <f t="shared" si="2"/>
        <v>11643.033705339911</v>
      </c>
      <c r="D125" s="42"/>
      <c r="E125" s="10"/>
      <c r="F125" s="10"/>
      <c r="G125" s="43"/>
      <c r="H125" s="9"/>
    </row>
    <row r="126" spans="1:8" x14ac:dyDescent="0.25">
      <c r="A126" s="29">
        <v>22</v>
      </c>
      <c r="B126" s="30">
        <f>ιγ_Αποτελέσματα_Σεναρίων!$T$5/(1+ι_Μοντέλο_Ελέγχου_α!$B$10)^A126</f>
        <v>672.81055479725683</v>
      </c>
      <c r="C126" s="30">
        <f t="shared" si="2"/>
        <v>12315.844260137168</v>
      </c>
      <c r="D126" s="42"/>
      <c r="E126" s="10"/>
      <c r="F126" s="10"/>
      <c r="G126" s="43"/>
      <c r="H126" s="9"/>
    </row>
    <row r="127" spans="1:8" x14ac:dyDescent="0.25">
      <c r="A127" s="29">
        <v>23</v>
      </c>
      <c r="B127" s="30">
        <f>ιγ_Αποτελέσματα_Σεναρίων!$T$5/(1+ι_Μοντέλο_Ελέγχου_α!$B$10)^A127</f>
        <v>659.61819097770285</v>
      </c>
      <c r="C127" s="30">
        <f t="shared" si="2"/>
        <v>12975.46245111487</v>
      </c>
      <c r="D127" s="42"/>
      <c r="E127" s="10"/>
      <c r="F127" s="10"/>
      <c r="G127" s="43"/>
      <c r="H127" s="9"/>
    </row>
    <row r="128" spans="1:8" x14ac:dyDescent="0.25">
      <c r="A128" s="29">
        <v>24</v>
      </c>
      <c r="B128" s="30">
        <f>ιγ_Αποτελέσματα_Σεναρίων!$T$5/(1+ι_Μοντέλο_Ελέγχου_α!$B$10)^A128</f>
        <v>646.68450095853223</v>
      </c>
      <c r="C128" s="30">
        <f t="shared" si="2"/>
        <v>13622.146952073403</v>
      </c>
      <c r="D128" s="42"/>
      <c r="E128" s="10"/>
      <c r="F128" s="10"/>
      <c r="G128" s="43"/>
      <c r="H128" s="9"/>
    </row>
    <row r="129" spans="1:8" x14ac:dyDescent="0.25">
      <c r="A129" s="29">
        <v>25</v>
      </c>
      <c r="B129" s="30">
        <f>ιγ_Αποτελέσματα_Σεναρίων!$T$5/(1+ι_Μοντέλο_Ελέγχου_α!$B$10)^A129</f>
        <v>634.00441270444333</v>
      </c>
      <c r="C129" s="30">
        <f t="shared" si="2"/>
        <v>14256.151364777847</v>
      </c>
      <c r="D129" s="42"/>
      <c r="E129" s="10"/>
      <c r="F129" s="10"/>
      <c r="G129" s="43"/>
      <c r="H129" s="9"/>
    </row>
    <row r="130" spans="1:8" x14ac:dyDescent="0.25">
      <c r="A130" s="9"/>
      <c r="B130" s="9"/>
      <c r="C130" s="9"/>
      <c r="D130" s="9"/>
      <c r="E130" s="9"/>
      <c r="F130" s="9"/>
      <c r="G130" s="9"/>
      <c r="H130" s="9"/>
    </row>
    <row r="131" spans="1:8" x14ac:dyDescent="0.25">
      <c r="A131" s="9"/>
      <c r="B131" s="9"/>
      <c r="C131" s="9"/>
      <c r="D131" s="9"/>
      <c r="E131" s="9"/>
      <c r="F131" s="9"/>
      <c r="G131" s="9"/>
      <c r="H131" s="9"/>
    </row>
    <row r="132" spans="1:8" x14ac:dyDescent="0.25">
      <c r="A132" s="284" t="s">
        <v>203</v>
      </c>
      <c r="B132" s="282"/>
      <c r="C132" s="282"/>
      <c r="D132" s="282"/>
      <c r="E132" s="282"/>
      <c r="F132" s="282"/>
      <c r="G132" s="282"/>
      <c r="H132" s="283"/>
    </row>
    <row r="133" spans="1:8" ht="26.25" customHeight="1" x14ac:dyDescent="0.25">
      <c r="A133" s="31" t="s">
        <v>0</v>
      </c>
      <c r="B133" s="31" t="s">
        <v>1</v>
      </c>
      <c r="C133" s="31" t="s">
        <v>2</v>
      </c>
      <c r="D133" s="31" t="s">
        <v>3</v>
      </c>
      <c r="E133" s="31" t="s">
        <v>195</v>
      </c>
      <c r="F133" s="31" t="s">
        <v>13</v>
      </c>
      <c r="G133" s="31" t="s">
        <v>23</v>
      </c>
      <c r="H133" s="31"/>
    </row>
    <row r="134" spans="1:8" x14ac:dyDescent="0.25">
      <c r="A134" s="32" t="str">
        <f>ι_Μοντέλο_Ελέγχου_α!$A$42</f>
        <v>Μπαταρία 7.5 kWh</v>
      </c>
      <c r="B134" s="33">
        <f>ι_Μοντέλο_Ελέγχου_α!$B$42</f>
        <v>7.5</v>
      </c>
      <c r="C134" s="33">
        <f>ι_Μοντέλο_Ελέγχου_α!$C$42</f>
        <v>225</v>
      </c>
      <c r="D134" s="34">
        <f>ι_Μοντέλο_Ελέγχου_α!$D$42</f>
        <v>3600</v>
      </c>
      <c r="E134" s="35">
        <f>IF(COUNTIF($G$138:$G$148,1)=0,INDEX($A$138:$A$148,MIN(ROWS($A$138:$A$148),MATCH(ι_Μοντέλο_Ελέγχου_α!$B$15,$B$138:$B$148,1)+1)),INDEX($A$138:$A$148,_xlfn.AGGREGATE(15,6,(ROW($F$138:$F$148)-ROW($F$138)+1)/(($G$138:$G$148=1)*($F$138:$F$148=_xlfn.AGGREGATE(15,6,$F$138:$F$148/($G$138:$G$148=1),1))),1)))</f>
        <v>3.96</v>
      </c>
      <c r="F134" s="35">
        <f>INDEX($C$138:$C$148,MATCH(E134,$A$138:$A$148,0))</f>
        <v>2452.8879999999999</v>
      </c>
      <c r="G134" s="35">
        <f>DPP_FromNPV($C$153:$C$178,$A$153:$A$178,$B$153:$B$178)</f>
        <v>7.5087732722970095</v>
      </c>
      <c r="H134" s="32"/>
    </row>
    <row r="135" spans="1:8" x14ac:dyDescent="0.25">
      <c r="A135" s="9"/>
      <c r="B135" s="9"/>
      <c r="C135" s="9"/>
      <c r="D135" s="42"/>
      <c r="E135" s="10"/>
      <c r="F135" s="10"/>
      <c r="G135" s="43"/>
      <c r="H135" s="9"/>
    </row>
    <row r="136" spans="1:8" x14ac:dyDescent="0.25">
      <c r="A136" s="281" t="s">
        <v>196</v>
      </c>
      <c r="B136" s="282"/>
      <c r="C136" s="282"/>
      <c r="D136" s="282"/>
      <c r="E136" s="282"/>
      <c r="F136" s="282"/>
      <c r="G136" s="283"/>
      <c r="H136" s="9"/>
    </row>
    <row r="137" spans="1:8" ht="26.25" customHeight="1" x14ac:dyDescent="0.25">
      <c r="A137" s="31" t="s">
        <v>28</v>
      </c>
      <c r="B137" s="31" t="s">
        <v>197</v>
      </c>
      <c r="C137" s="31" t="s">
        <v>13</v>
      </c>
      <c r="D137" s="36" t="s">
        <v>49</v>
      </c>
      <c r="E137" s="37" t="s">
        <v>19</v>
      </c>
      <c r="F137" s="37" t="s">
        <v>23</v>
      </c>
      <c r="G137" s="38" t="s">
        <v>198</v>
      </c>
      <c r="H137" s="9"/>
    </row>
    <row r="138" spans="1:8" x14ac:dyDescent="0.25">
      <c r="A138" s="29">
        <f>ι_Μοντέλο_Ελέγχου_α!$B$5*(ROW()-138)/10</f>
        <v>0</v>
      </c>
      <c r="B138" s="29">
        <f>AnnualSelfConsumptionWithBattery(A138,ι_Μοντέλο_Ελέγχου_α!$B$22:$B$33,ι_Μοντέλο_Ελέγχου_α!$C$22:$C$33,ι_Μοντέλο_Ελέγχου_α!$D$22:$D$33,ι_Μοντέλο_Ελέγχου_α!$C$42)</f>
        <v>0</v>
      </c>
      <c r="C138" s="29">
        <f>ι_Μοντέλο_Ελέγχου_α!$C$34-B138</f>
        <v>7500</v>
      </c>
      <c r="D138" s="30">
        <f>A138*ι_Μοντέλο_Ελέγχου_α!$B$7+ι_Μοντέλο_Ελέγχου_α!$D$42</f>
        <v>3600</v>
      </c>
      <c r="E138" s="39">
        <f>B138*ι_Μοντέλο_Ελέγχου_α!$B$8+MAX(A138*ι_Μοντέλο_Ελέγχου_α!$B$14-B138,0)*ι_Μοντέλο_Ελέγχου_α!$B$9</f>
        <v>0</v>
      </c>
      <c r="F138" s="39"/>
      <c r="G138" s="40">
        <f>IF(AND(C138&lt;=ι_Μοντέλο_Ελέγχου_α!$B$16,ISNUMBER(F138),F138&lt;=$B$4),1,0)</f>
        <v>0</v>
      </c>
      <c r="H138" s="9"/>
    </row>
    <row r="139" spans="1:8" x14ac:dyDescent="0.25">
      <c r="A139" s="29">
        <f>ι_Μοντέλο_Ελέγχου_α!$B$5*(ROW()-138)/10</f>
        <v>0.99</v>
      </c>
      <c r="B139" s="29">
        <f>AnnualSelfConsumptionWithBattery(A139,ι_Μοντέλο_Ελέγχου_α!$B$22:$B$33,ι_Μοντέλο_Ελέγχου_α!$C$22:$C$33,ι_Μοντέλο_Ελέγχου_α!$D$22:$D$33,ι_Μοντέλο_Ελέγχου_α!$C$42)</f>
        <v>1430.6490000000001</v>
      </c>
      <c r="C139" s="29">
        <f>ι_Μοντέλο_Ελέγχου_α!$C$34-B139</f>
        <v>6069.3509999999997</v>
      </c>
      <c r="D139" s="30">
        <f>A139*ι_Μοντέλο_Ελέγχου_α!$B$7+ι_Μοντέλο_Ελέγχου_α!$D$42</f>
        <v>4512.8</v>
      </c>
      <c r="E139" s="39">
        <f>B139*ι_Μοντέλο_Ελέγχου_α!$B$8+MAX(A139*ι_Μοντέλο_Ελέγχου_α!$B$14-B139,0)*ι_Μοντέλο_Ελέγχου_α!$B$9</f>
        <v>286.12980000000005</v>
      </c>
      <c r="F139" s="39">
        <f>-LN(1-D139*ι_Μοντέλο_Ελέγχου_α!$B$10/E139)/LN(1+ι_Μοντέλο_Ελέγχου_α!$B$10)</f>
        <v>19.137611088023128</v>
      </c>
      <c r="G139" s="40">
        <f>IF(AND(C139&lt;=ι_Μοντέλο_Ελέγχου_α!$B$16,ISNUMBER(F139),F139&lt;=$B$4),1,0)</f>
        <v>0</v>
      </c>
      <c r="H139" s="9"/>
    </row>
    <row r="140" spans="1:8" x14ac:dyDescent="0.25">
      <c r="A140" s="29">
        <f>ι_Μοντέλο_Ελέγχου_α!$B$5*(ROW()-138)/10</f>
        <v>1.98</v>
      </c>
      <c r="B140" s="29">
        <f>AnnualSelfConsumptionWithBattery(A140,ι_Μοντέλο_Ελέγχου_α!$B$22:$B$33,ι_Μοντέλο_Ελέγχου_α!$C$22:$C$33,ι_Μοντέλο_Ελέγχου_α!$D$22:$D$33,ι_Μοντέλο_Ελέγχου_α!$C$42)</f>
        <v>2861.2980000000002</v>
      </c>
      <c r="C140" s="29">
        <f>ι_Μοντέλο_Ελέγχου_α!$C$34-B140</f>
        <v>4638.7019999999993</v>
      </c>
      <c r="D140" s="30">
        <f>A140*ι_Μοντέλο_Ελέγχου_α!$B$7+ι_Μοντέλο_Ελέγχου_α!$D$42</f>
        <v>5425.6</v>
      </c>
      <c r="E140" s="39">
        <f>B140*ι_Μοντέλο_Ελέγχου_α!$B$8+MAX(A140*ι_Μοντέλο_Ελέγχου_α!$B$14-B140,0)*ι_Μοντέλο_Ελέγχου_α!$B$9</f>
        <v>572.25960000000009</v>
      </c>
      <c r="F140" s="39">
        <f>-LN(1-D140*ι_Μοντέλο_Ελέγχου_α!$B$10/E140)/LN(1+ι_Μοντέλο_Ελέγχου_α!$B$10)</f>
        <v>10.617393981408334</v>
      </c>
      <c r="G140" s="40">
        <f>IF(AND(C140&lt;=ι_Μοντέλο_Ελέγχου_α!$B$16,ISNUMBER(F140),F140&lt;=$B$4),1,0)</f>
        <v>0</v>
      </c>
      <c r="H140" s="9"/>
    </row>
    <row r="141" spans="1:8" x14ac:dyDescent="0.25">
      <c r="A141" s="29">
        <f>ι_Μοντέλο_Ελέγχου_α!$B$5*(ROW()-138)/10</f>
        <v>2.97</v>
      </c>
      <c r="B141" s="29">
        <f>AnnualSelfConsumptionWithBattery(A141,ι_Μοντέλο_Ελέγχου_α!$B$22:$B$33,ι_Μοντέλο_Ελέγχου_α!$C$22:$C$33,ι_Μοντέλο_Ελέγχου_α!$D$22:$D$33,ι_Μοντέλο_Ελέγχου_α!$C$42)</f>
        <v>4232.5330000000004</v>
      </c>
      <c r="C141" s="29">
        <f>ι_Μοντέλο_Ελέγχου_α!$C$34-B141</f>
        <v>3267.4669999999996</v>
      </c>
      <c r="D141" s="30">
        <f>A141*ι_Μοντέλο_Ελέγχου_α!$B$7+ι_Μοντέλο_Ελέγχου_α!$D$42</f>
        <v>6338.4</v>
      </c>
      <c r="E141" s="39">
        <f>B141*ι_Μοντέλο_Ελέγχου_α!$B$8+MAX(A141*ι_Μοντέλο_Ελέγχου_α!$B$14-B141,0)*ι_Μοντέλο_Ελέγχου_α!$B$9</f>
        <v>850.07144000000017</v>
      </c>
      <c r="F141" s="39">
        <f>-LN(1-D141*ι_Μοντέλο_Ελέγχου_α!$B$10/E141)/LN(1+ι_Μοντέλο_Ελέγχου_α!$B$10)</f>
        <v>8.15505744629756</v>
      </c>
      <c r="G141" s="40">
        <f>IF(AND(C141&lt;=ι_Μοντέλο_Ελέγχου_α!$B$16,ISNUMBER(F141),F141&lt;=$B$4),1,0)</f>
        <v>0</v>
      </c>
      <c r="H141" s="9"/>
    </row>
    <row r="142" spans="1:8" x14ac:dyDescent="0.25">
      <c r="A142" s="29">
        <f>ι_Μοντέλο_Ελέγχου_α!$B$5*(ROW()-138)/10</f>
        <v>3.96</v>
      </c>
      <c r="B142" s="29">
        <f>AnnualSelfConsumptionWithBattery(A142,ι_Μοντέλο_Ελέγχου_α!$B$22:$B$33,ι_Μοντέλο_Ελέγχου_α!$C$22:$C$33,ι_Μοντέλο_Ελέγχου_α!$D$22:$D$33,ι_Μοντέλο_Ελέγχου_α!$C$42)</f>
        <v>5047.1120000000001</v>
      </c>
      <c r="C142" s="29">
        <f>ι_Μοντέλο_Ελέγχου_α!$C$34-B142</f>
        <v>2452.8879999999999</v>
      </c>
      <c r="D142" s="30">
        <f>A142*ι_Μοντέλο_Ελέγχου_α!$B$7+ι_Μοντέλο_Ελέγχου_α!$D$42</f>
        <v>7251.2</v>
      </c>
      <c r="E142" s="39">
        <f>B142*ι_Μοντέλο_Ελέγχου_α!$B$8+MAX(A142*ι_Μοντέλο_Ελέγχου_α!$B$14-B142,0)*ι_Μοντέλο_Ελέγχου_α!$B$9</f>
        <v>1049.95144</v>
      </c>
      <c r="F142" s="39">
        <f>-LN(1-D142*ι_Μοντέλο_Ελέγχου_α!$B$10/E142)/LN(1+ι_Μοντέλο_Ελέγχου_α!$B$10)</f>
        <v>7.5062984597871267</v>
      </c>
      <c r="G142" s="40">
        <f>IF(AND(C142&lt;=ι_Μοντέλο_Ελέγχου_α!$B$16,ISNUMBER(F142),F142&lt;=$B$4),1,0)</f>
        <v>0</v>
      </c>
      <c r="H142" s="9"/>
    </row>
    <row r="143" spans="1:8" x14ac:dyDescent="0.25">
      <c r="A143" s="29">
        <f>ι_Μοντέλο_Ελέγχου_α!$B$5*(ROW()-138)/10</f>
        <v>4.95</v>
      </c>
      <c r="B143" s="29">
        <f>AnnualSelfConsumptionWithBattery(A143,ι_Μοντέλο_Ελέγχου_α!$B$22:$B$33,ι_Μοντέλο_Ελέγχου_α!$C$22:$C$33,ι_Μοντέλο_Ελέγχου_α!$D$22:$D$33,ι_Μοντέλο_Ελέγχου_α!$C$42)</f>
        <v>5583.89</v>
      </c>
      <c r="C143" s="29">
        <f>ι_Μοντέλο_Ελέγχου_α!$C$34-B143</f>
        <v>1916.1099999999997</v>
      </c>
      <c r="D143" s="30">
        <f>A143*ι_Μοντέλο_Ελέγχου_α!$B$7+ι_Μοντέλο_Ελέγχου_α!$D$42</f>
        <v>8164</v>
      </c>
      <c r="E143" s="39">
        <f>B143*ι_Μοντέλο_Ελέγχου_α!$B$8+MAX(A143*ι_Μοντέλο_Ελέγχου_α!$B$14-B143,0)*ι_Μοντέλο_Ελέγχου_α!$B$9</f>
        <v>1210.9393</v>
      </c>
      <c r="F143" s="39">
        <f>-LN(1-D143*ι_Μοντέλο_Ελέγχου_α!$B$10/E143)/LN(1+ι_Μοντέλο_Ελέγχου_α!$B$10)</f>
        <v>7.3140750295314536</v>
      </c>
      <c r="G143" s="40">
        <f>IF(AND(C143&lt;=ι_Μοντέλο_Ελέγχου_α!$B$16,ISNUMBER(F143),F143&lt;=$B$4),1,0)</f>
        <v>0</v>
      </c>
      <c r="H143" s="9"/>
    </row>
    <row r="144" spans="1:8" x14ac:dyDescent="0.25">
      <c r="A144" s="29">
        <f>ι_Μοντέλο_Ελέγχου_α!$B$5*(ROW()-138)/10</f>
        <v>5.94</v>
      </c>
      <c r="B144" s="29">
        <f>AnnualSelfConsumptionWithBattery(A144,ι_Μοντέλο_Ελέγχου_α!$B$22:$B$33,ι_Μοντέλο_Ελέγχου_α!$C$22:$C$33,ι_Μοντέλο_Ελέγχου_α!$D$22:$D$33,ι_Μοντέλο_Ελέγχου_α!$C$42)</f>
        <v>6057.9080000000004</v>
      </c>
      <c r="C144" s="29">
        <f>ι_Μοντέλο_Ελέγχου_α!$C$34-B144</f>
        <v>1442.0919999999996</v>
      </c>
      <c r="D144" s="30">
        <f>A144*ι_Μοντέλο_Ελέγχου_α!$B$7+ι_Μοντέλο_Ελέγχου_α!$D$42</f>
        <v>9076.7999999999993</v>
      </c>
      <c r="E144" s="39">
        <f>B144*ι_Μοντέλο_Ελέγχου_α!$B$8+MAX(A144*ι_Μοντέλο_Ελέγχου_α!$B$14-B144,0)*ι_Μοντέλο_Ελέγχου_α!$B$9</f>
        <v>1363.1407600000002</v>
      </c>
      <c r="F144" s="39">
        <f>-LN(1-D144*ι_Μοντέλο_Ελέγχου_α!$B$10/E144)/LN(1+ι_Μοντέλο_Ελέγχου_α!$B$10)</f>
        <v>7.2171200707551364</v>
      </c>
      <c r="G144" s="40">
        <f>IF(AND(C144&lt;=ι_Μοντέλο_Ελέγχου_α!$B$16,ISNUMBER(F144),F144&lt;=$B$4),1,0)</f>
        <v>0</v>
      </c>
      <c r="H144" s="9"/>
    </row>
    <row r="145" spans="1:8" x14ac:dyDescent="0.25">
      <c r="A145" s="29">
        <f>ι_Μοντέλο_Ελέγχου_α!$B$5*(ROW()-138)/10</f>
        <v>6.93</v>
      </c>
      <c r="B145" s="29">
        <f>AnnualSelfConsumptionWithBattery(A145,ι_Μοντέλο_Ελέγχου_α!$B$22:$B$33,ι_Μοντέλο_Ελέγχου_α!$C$22:$C$33,ι_Μοντέλο_Ελέγχου_α!$D$22:$D$33,ι_Μοντέλο_Ελέγχου_α!$C$42)</f>
        <v>6352.9540000000006</v>
      </c>
      <c r="C145" s="29">
        <f>ι_Μοντέλο_Ελέγχου_α!$C$34-B145</f>
        <v>1147.0459999999994</v>
      </c>
      <c r="D145" s="30">
        <f>A145*ι_Μοντέλο_Ελέγχου_α!$B$7+ι_Μοντέλο_Ελέγχου_α!$D$42</f>
        <v>9989.5999999999985</v>
      </c>
      <c r="E145" s="39">
        <f>B145*ι_Μοντέλο_Ελέγχου_α!$B$8+MAX(A145*ι_Μοντέλο_Ελέγχου_α!$B$14-B145,0)*ι_Μοντέλο_Ελέγχου_α!$B$9</f>
        <v>1490.2861400000002</v>
      </c>
      <c r="F145" s="39">
        <f>-LN(1-D145*ι_Μοντέλο_Ελέγχου_α!$B$10/E145)/LN(1+ι_Μοντέλο_Ελέγχου_α!$B$10)</f>
        <v>7.2688810603242127</v>
      </c>
      <c r="G145" s="40">
        <f>IF(AND(C145&lt;=ι_Μοντέλο_Ελέγχου_α!$B$16,ISNUMBER(F145),F145&lt;=$B$4),1,0)</f>
        <v>0</v>
      </c>
      <c r="H145" s="9"/>
    </row>
    <row r="146" spans="1:8" x14ac:dyDescent="0.25">
      <c r="A146" s="29">
        <f>ι_Μοντέλο_Ελέγχου_α!$B$5*(ROW()-138)/10</f>
        <v>7.92</v>
      </c>
      <c r="B146" s="29">
        <f>AnnualSelfConsumptionWithBattery(A146,ι_Μοντέλο_Ελέγχου_α!$B$22:$B$33,ι_Μοντέλο_Ελέγχου_α!$C$22:$C$33,ι_Μοντέλο_Ελέγχου_α!$D$22:$D$33,ι_Μοντέλο_Ελέγχου_α!$C$42)</f>
        <v>6488.0079999999998</v>
      </c>
      <c r="C146" s="29">
        <f>ι_Μοντέλο_Ελέγχου_α!$C$34-B146</f>
        <v>1011.9920000000002</v>
      </c>
      <c r="D146" s="30">
        <f>A146*ι_Μοντέλο_Ελέγχου_α!$B$7+ι_Μοντέλο_Ελέγχου_α!$D$42</f>
        <v>10902.4</v>
      </c>
      <c r="E146" s="39">
        <f>B146*ι_Μοντέλο_Ελέγχου_α!$B$8+MAX(A146*ι_Μοντέλο_Ελέγχου_α!$B$14-B146,0)*ι_Μοντέλο_Ελέγχου_α!$B$9</f>
        <v>1595.0326399999999</v>
      </c>
      <c r="F146" s="39">
        <f>-LN(1-D146*ι_Μοντέλο_Ελέγχου_α!$B$10/E146)/LN(1+ι_Μοντέλο_Ελέγχου_α!$B$10)</f>
        <v>7.42316323882023</v>
      </c>
      <c r="G146" s="40">
        <f>IF(AND(C146&lt;=ι_Μοντέλο_Ελέγχου_α!$B$16,ISNUMBER(F146),F146&lt;=$B$4),1,0)</f>
        <v>0</v>
      </c>
      <c r="H146" s="9"/>
    </row>
    <row r="147" spans="1:8" x14ac:dyDescent="0.25">
      <c r="A147" s="29">
        <f>ι_Μοντέλο_Ελέγχου_α!$B$5*(ROW()-138)/10</f>
        <v>8.91</v>
      </c>
      <c r="B147" s="29">
        <f>AnnualSelfConsumptionWithBattery(A147,ι_Μοντέλο_Ελέγχου_α!$B$22:$B$33,ι_Μοντέλο_Ελέγχου_α!$C$22:$C$33,ι_Μοντέλο_Ελέγχου_α!$D$22:$D$33,ι_Μοντέλο_Ελέγχου_α!$C$42)</f>
        <v>6500</v>
      </c>
      <c r="C147" s="29">
        <f>ι_Μοντέλο_Ελέγχου_α!$C$34-B147</f>
        <v>1000</v>
      </c>
      <c r="D147" s="30">
        <f>A147*ι_Μοντέλο_Ελέγχου_α!$B$7+ι_Μοντέλο_Ελέγχου_α!$D$42</f>
        <v>11815.199999999999</v>
      </c>
      <c r="E147" s="39">
        <f>B147*ι_Μοντέλο_Ελέγχου_α!$B$8+MAX(A147*ι_Μοντέλο_Ελέγχου_α!$B$14-B147,0)*ι_Μοντέλο_Ελέγχου_α!$B$9</f>
        <v>1682.5504600000002</v>
      </c>
      <c r="F147" s="39">
        <f>-LN(1-D147*ι_Μοντέλο_Ελέγχου_α!$B$10/E147)/LN(1+ι_Μοντέλο_Ελέγχου_α!$B$10)</f>
        <v>7.6423809373897402</v>
      </c>
      <c r="G147" s="40">
        <f>IF(AND(C147&lt;=ι_Μοντέλο_Ελέγχου_α!$B$16,ISNUMBER(F147),F147&lt;=$B$4),1,0)</f>
        <v>0</v>
      </c>
      <c r="H147" s="9"/>
    </row>
    <row r="148" spans="1:8" x14ac:dyDescent="0.25">
      <c r="A148" s="29">
        <f>ι_Μοντέλο_Ελέγχου_α!$B$5*(ROW()-138)/10</f>
        <v>9.9</v>
      </c>
      <c r="B148" s="29">
        <f>AnnualSelfConsumptionWithBattery(A148,ι_Μοντέλο_Ελέγχου_α!$B$22:$B$33,ι_Μοντέλο_Ελέγχου_α!$C$22:$C$33,ι_Μοντέλο_Ελέγχου_α!$D$22:$D$33,ι_Μοντέλο_Ελέγχου_α!$C$42)</f>
        <v>6500</v>
      </c>
      <c r="C148" s="29">
        <f>ι_Μοντέλο_Ελέγχου_α!$C$34-B148</f>
        <v>1000</v>
      </c>
      <c r="D148" s="30">
        <f>A148*ι_Μοντέλο_Ελέγχου_α!$B$7+ι_Μοντέλο_Ελέγχου_α!$D$42</f>
        <v>12728</v>
      </c>
      <c r="E148" s="39">
        <f>B148*ι_Μοντέλο_Ελέγχου_α!$B$8+MAX(A148*ι_Μοντέλο_Ελέγχου_α!$B$14-B148,0)*ι_Μοντέλο_Ελέγχου_α!$B$9</f>
        <v>1768.3894</v>
      </c>
      <c r="F148" s="39">
        <f>-LN(1-D148*ι_Μοντέλο_Ελέγχου_α!$B$10/E148)/LN(1+ι_Μοντέλο_Ελέγχου_α!$B$10)</f>
        <v>7.848792964700892</v>
      </c>
      <c r="G148" s="40">
        <f>IF(AND(C148&lt;=ι_Μοντέλο_Ελέγχου_α!$B$16,ISNUMBER(F148),F148&lt;=$B$4),1,0)</f>
        <v>0</v>
      </c>
      <c r="H148" s="9"/>
    </row>
    <row r="149" spans="1:8" x14ac:dyDescent="0.25">
      <c r="A149" s="9"/>
      <c r="B149" s="9"/>
      <c r="C149" s="9"/>
      <c r="D149" s="42"/>
      <c r="E149" s="10"/>
      <c r="F149" s="10"/>
      <c r="G149" s="43"/>
      <c r="H149" s="9"/>
    </row>
    <row r="150" spans="1:8" x14ac:dyDescent="0.25">
      <c r="A150" s="9"/>
      <c r="B150" s="9"/>
      <c r="C150" s="9"/>
      <c r="D150" s="42"/>
      <c r="E150" s="10"/>
      <c r="F150" s="10"/>
      <c r="G150" s="43"/>
      <c r="H150" s="9"/>
    </row>
    <row r="151" spans="1:8" x14ac:dyDescent="0.25">
      <c r="A151" s="281" t="s">
        <v>199</v>
      </c>
      <c r="B151" s="282"/>
      <c r="C151" s="283"/>
      <c r="D151" s="42"/>
      <c r="E151" s="10"/>
      <c r="F151" s="10"/>
      <c r="G151" s="43"/>
      <c r="H151" s="9"/>
    </row>
    <row r="152" spans="1:8" x14ac:dyDescent="0.25">
      <c r="A152" s="31" t="s">
        <v>29</v>
      </c>
      <c r="B152" s="31" t="s">
        <v>200</v>
      </c>
      <c r="C152" s="31" t="s">
        <v>201</v>
      </c>
      <c r="D152" s="42"/>
      <c r="E152" s="10"/>
      <c r="F152" s="10"/>
      <c r="G152" s="43"/>
      <c r="H152" s="9"/>
    </row>
    <row r="153" spans="1:8" x14ac:dyDescent="0.25">
      <c r="A153" s="29">
        <v>0</v>
      </c>
      <c r="B153" s="30">
        <v>0</v>
      </c>
      <c r="C153" s="30">
        <f>-ιγ_Αποτελέσματα_Σεναρίων!$H$6</f>
        <v>-7251.2</v>
      </c>
      <c r="D153" s="42"/>
      <c r="E153" s="10"/>
      <c r="F153" s="10"/>
      <c r="G153" s="43"/>
      <c r="H153" s="9"/>
    </row>
    <row r="154" spans="1:8" x14ac:dyDescent="0.25">
      <c r="A154" s="29">
        <v>1</v>
      </c>
      <c r="B154" s="30">
        <f>ιγ_Αποτελέσματα_Σεναρίων!$T$6/(1+ι_Μοντέλο_Ελέγχου_α!$B$10)^A154</f>
        <v>1029.3641568627452</v>
      </c>
      <c r="C154" s="30">
        <f t="shared" ref="C154:C178" si="3">C153+B154</f>
        <v>-6221.8358431372544</v>
      </c>
      <c r="D154" s="42"/>
      <c r="E154" s="10"/>
      <c r="F154" s="10"/>
      <c r="G154" s="43"/>
      <c r="H154" s="9"/>
    </row>
    <row r="155" spans="1:8" x14ac:dyDescent="0.25">
      <c r="A155" s="29">
        <v>2</v>
      </c>
      <c r="B155" s="30">
        <f>ιγ_Αποτελέσματα_Σεναρίων!$T$6/(1+ι_Μοντέλο_Ελέγχου_α!$B$10)^A155</f>
        <v>1009.1805459438677</v>
      </c>
      <c r="C155" s="30">
        <f t="shared" si="3"/>
        <v>-5212.655297193387</v>
      </c>
      <c r="D155" s="42"/>
      <c r="E155" s="10"/>
      <c r="F155" s="10"/>
      <c r="G155" s="43"/>
      <c r="H155" s="9"/>
    </row>
    <row r="156" spans="1:8" x14ac:dyDescent="0.25">
      <c r="A156" s="29">
        <v>3</v>
      </c>
      <c r="B156" s="30">
        <f>ιγ_Αποτελέσματα_Σεναρίων!$T$6/(1+ι_Μοντέλο_Ελέγχου_α!$B$10)^A156</f>
        <v>989.39269210183124</v>
      </c>
      <c r="C156" s="30">
        <f t="shared" si="3"/>
        <v>-4223.262605091556</v>
      </c>
      <c r="D156" s="42"/>
      <c r="E156" s="10"/>
      <c r="F156" s="10"/>
      <c r="G156" s="43"/>
      <c r="H156" s="9"/>
    </row>
    <row r="157" spans="1:8" x14ac:dyDescent="0.25">
      <c r="A157" s="29">
        <v>4</v>
      </c>
      <c r="B157" s="30">
        <f>ιγ_Αποτελέσματα_Σεναρίων!$T$6/(1+ι_Μοντέλο_Ελέγχου_α!$B$10)^A157</f>
        <v>969.99283539395219</v>
      </c>
      <c r="C157" s="30">
        <f t="shared" si="3"/>
        <v>-3253.2697696976038</v>
      </c>
      <c r="D157" s="42"/>
      <c r="E157" s="10"/>
      <c r="F157" s="10"/>
      <c r="G157" s="43"/>
      <c r="H157" s="9"/>
    </row>
    <row r="158" spans="1:8" x14ac:dyDescent="0.25">
      <c r="A158" s="29">
        <v>5</v>
      </c>
      <c r="B158" s="30">
        <f>ιγ_Αποτελέσματα_Σεναρίων!$T$6/(1+ι_Μοντέλο_Ελέγχου_α!$B$10)^A158</f>
        <v>950.97336803328642</v>
      </c>
      <c r="C158" s="30">
        <f t="shared" si="3"/>
        <v>-2302.2964016643173</v>
      </c>
      <c r="D158" s="42"/>
      <c r="E158" s="10"/>
      <c r="F158" s="10"/>
      <c r="G158" s="43"/>
      <c r="H158" s="9"/>
    </row>
    <row r="159" spans="1:8" x14ac:dyDescent="0.25">
      <c r="A159" s="29">
        <v>6</v>
      </c>
      <c r="B159" s="30">
        <f>ιγ_Αποτελέσματα_Σεναρίων!$T$6/(1+ι_Μοντέλο_Ελέγχου_α!$B$10)^A159</f>
        <v>932.3268314051827</v>
      </c>
      <c r="C159" s="30">
        <f t="shared" si="3"/>
        <v>-1369.9695702591346</v>
      </c>
      <c r="D159" s="42"/>
      <c r="E159" s="10"/>
      <c r="F159" s="10"/>
      <c r="G159" s="43"/>
      <c r="H159" s="9"/>
    </row>
    <row r="160" spans="1:8" x14ac:dyDescent="0.25">
      <c r="A160" s="29">
        <v>7</v>
      </c>
      <c r="B160" s="30">
        <f>ιγ_Αποτελέσματα_Σεναρίων!$T$6/(1+ι_Μοντέλο_Ελέγχου_α!$B$10)^A160</f>
        <v>914.04591314233619</v>
      </c>
      <c r="C160" s="30">
        <f t="shared" si="3"/>
        <v>-455.92365711679838</v>
      </c>
      <c r="D160" s="42"/>
      <c r="E160" s="10"/>
      <c r="F160" s="10"/>
      <c r="G160" s="43"/>
      <c r="H160" s="9"/>
    </row>
    <row r="161" spans="1:8" x14ac:dyDescent="0.25">
      <c r="A161" s="29">
        <v>8</v>
      </c>
      <c r="B161" s="30">
        <f>ιγ_Αποτελέσματα_Σεναρίων!$T$6/(1+ι_Μοντέλο_Ελέγχου_α!$B$10)^A161</f>
        <v>896.1234442571922</v>
      </c>
      <c r="C161" s="30">
        <f t="shared" si="3"/>
        <v>440.19978714039382</v>
      </c>
      <c r="D161" s="42"/>
      <c r="E161" s="10"/>
      <c r="F161" s="10"/>
      <c r="G161" s="43"/>
      <c r="H161" s="9"/>
    </row>
    <row r="162" spans="1:8" x14ac:dyDescent="0.25">
      <c r="A162" s="29">
        <v>9</v>
      </c>
      <c r="B162" s="30">
        <f>ιγ_Αποτελέσματα_Σεναρίων!$T$6/(1+ι_Μοντέλο_Ελέγχου_α!$B$10)^A162</f>
        <v>878.55239633058068</v>
      </c>
      <c r="C162" s="30">
        <f t="shared" si="3"/>
        <v>1318.7521834709746</v>
      </c>
      <c r="D162" s="42"/>
      <c r="E162" s="10"/>
      <c r="F162" s="10"/>
      <c r="G162" s="43"/>
      <c r="H162" s="9"/>
    </row>
    <row r="163" spans="1:8" x14ac:dyDescent="0.25">
      <c r="A163" s="29">
        <v>10</v>
      </c>
      <c r="B163" s="30">
        <f>ιγ_Αποτελέσματα_Σεναρίων!$T$6/(1+ι_Μοντέλο_Ελέγχου_α!$B$10)^A163</f>
        <v>861.32587875547119</v>
      </c>
      <c r="C163" s="30">
        <f t="shared" si="3"/>
        <v>2180.0780622264456</v>
      </c>
      <c r="D163" s="42"/>
      <c r="E163" s="10"/>
      <c r="F163" s="10"/>
      <c r="G163" s="43"/>
      <c r="H163" s="9"/>
    </row>
    <row r="164" spans="1:8" x14ac:dyDescent="0.25">
      <c r="A164" s="29">
        <v>11</v>
      </c>
      <c r="B164" s="30">
        <f>ιγ_Αποτελέσματα_Σεναρίων!$T$6/(1+ι_Μοντέλο_Ελέγχου_α!$B$10)^A164</f>
        <v>844.43713603477579</v>
      </c>
      <c r="C164" s="30">
        <f t="shared" si="3"/>
        <v>3024.5151982612215</v>
      </c>
      <c r="D164" s="42"/>
      <c r="E164" s="10"/>
      <c r="F164" s="10"/>
      <c r="G164" s="43"/>
      <c r="H164" s="9"/>
    </row>
    <row r="165" spans="1:8" x14ac:dyDescent="0.25">
      <c r="A165" s="29">
        <v>12</v>
      </c>
      <c r="B165" s="30">
        <f>ιγ_Αποτελέσματα_Σεναρίων!$T$6/(1+ι_Μοντέλο_Ελέγχου_α!$B$10)^A165</f>
        <v>827.87954513213299</v>
      </c>
      <c r="C165" s="30">
        <f t="shared" si="3"/>
        <v>3852.3947433933545</v>
      </c>
      <c r="D165" s="42"/>
      <c r="E165" s="10"/>
      <c r="F165" s="10"/>
      <c r="G165" s="43"/>
      <c r="H165" s="9"/>
    </row>
    <row r="166" spans="1:8" x14ac:dyDescent="0.25">
      <c r="A166" s="29">
        <v>13</v>
      </c>
      <c r="B166" s="30">
        <f>ιγ_Αποτελέσματα_Σεναρίων!$T$6/(1+ι_Μοντέλο_Ελέγχου_α!$B$10)^A166</f>
        <v>811.64661287464025</v>
      </c>
      <c r="C166" s="30">
        <f t="shared" si="3"/>
        <v>4664.0413562679951</v>
      </c>
      <c r="D166" s="42"/>
      <c r="E166" s="10"/>
      <c r="F166" s="10"/>
      <c r="G166" s="43"/>
      <c r="H166" s="9"/>
    </row>
    <row r="167" spans="1:8" x14ac:dyDescent="0.25">
      <c r="A167" s="29">
        <v>14</v>
      </c>
      <c r="B167" s="30">
        <f>ιγ_Αποτελέσματα_Σεναρίων!$T$6/(1+ι_Μοντέλο_Ελέγχου_α!$B$10)^A167</f>
        <v>795.73197340650995</v>
      </c>
      <c r="C167" s="30">
        <f t="shared" si="3"/>
        <v>5459.7733296745046</v>
      </c>
      <c r="D167" s="42"/>
      <c r="E167" s="10"/>
      <c r="F167" s="10"/>
      <c r="G167" s="43"/>
      <c r="H167" s="9"/>
    </row>
    <row r="168" spans="1:8" x14ac:dyDescent="0.25">
      <c r="A168" s="29">
        <v>15</v>
      </c>
      <c r="B168" s="30">
        <f>ιγ_Αποτελέσματα_Σεναρίων!$T$6/(1+ι_Μοντέλο_Ελέγχου_α!$B$10)^A168</f>
        <v>780.12938569265702</v>
      </c>
      <c r="C168" s="30">
        <f t="shared" si="3"/>
        <v>6239.9027153671614</v>
      </c>
      <c r="D168" s="42"/>
      <c r="E168" s="10"/>
      <c r="F168" s="10"/>
      <c r="G168" s="43"/>
      <c r="H168" s="9"/>
    </row>
    <row r="169" spans="1:8" x14ac:dyDescent="0.25">
      <c r="A169" s="29">
        <v>16</v>
      </c>
      <c r="B169" s="30">
        <f>ιγ_Αποτελέσματα_Σεναρίων!$T$6/(1+ι_Μοντέλο_Ελέγχου_α!$B$10)^A169</f>
        <v>764.83273107123227</v>
      </c>
      <c r="C169" s="30">
        <f t="shared" si="3"/>
        <v>7004.7354464383934</v>
      </c>
      <c r="D169" s="42"/>
      <c r="E169" s="10"/>
      <c r="F169" s="10"/>
      <c r="G169" s="43"/>
      <c r="H169" s="9"/>
    </row>
    <row r="170" spans="1:8" x14ac:dyDescent="0.25">
      <c r="A170" s="29">
        <v>17</v>
      </c>
      <c r="B170" s="30">
        <f>ιγ_Αποτελέσματα_Σεναρίων!$T$6/(1+ι_Μοντέλο_Ελέγχου_α!$B$10)^A170</f>
        <v>749.83601085414921</v>
      </c>
      <c r="C170" s="30">
        <f t="shared" si="3"/>
        <v>7754.5714572925426</v>
      </c>
      <c r="D170" s="42"/>
      <c r="E170" s="10"/>
      <c r="F170" s="10"/>
      <c r="G170" s="43"/>
      <c r="H170" s="9"/>
    </row>
    <row r="171" spans="1:8" x14ac:dyDescent="0.25">
      <c r="A171" s="29">
        <v>18</v>
      </c>
      <c r="B171" s="30">
        <f>ιγ_Αποτελέσματα_Σεναρίων!$T$6/(1+ι_Μοντέλο_Ελέγχου_α!$B$10)^A171</f>
        <v>735.13334397465621</v>
      </c>
      <c r="C171" s="30">
        <f t="shared" si="3"/>
        <v>8489.7048012671985</v>
      </c>
      <c r="D171" s="42"/>
      <c r="E171" s="10"/>
      <c r="F171" s="10"/>
      <c r="G171" s="43"/>
      <c r="H171" s="9"/>
    </row>
    <row r="172" spans="1:8" x14ac:dyDescent="0.25">
      <c r="A172" s="29">
        <v>19</v>
      </c>
      <c r="B172" s="30">
        <f>ιγ_Αποτελέσματα_Σεναρίων!$T$6/(1+ι_Μοντέλο_Ελέγχου_α!$B$10)^A172</f>
        <v>720.71896468103546</v>
      </c>
      <c r="C172" s="30">
        <f t="shared" si="3"/>
        <v>9210.4237659482333</v>
      </c>
      <c r="D172" s="42"/>
      <c r="E172" s="10"/>
      <c r="F172" s="10"/>
      <c r="G172" s="43"/>
      <c r="H172" s="9"/>
    </row>
    <row r="173" spans="1:8" x14ac:dyDescent="0.25">
      <c r="A173" s="29">
        <v>20</v>
      </c>
      <c r="B173" s="30">
        <f>ιγ_Αποτελέσματα_Σεναρίων!$T$6/(1+ι_Μοντέλο_Ελέγχου_α!$B$10)^A173</f>
        <v>706.58722027552494</v>
      </c>
      <c r="C173" s="30">
        <f t="shared" si="3"/>
        <v>9917.0109862237587</v>
      </c>
      <c r="D173" s="42"/>
      <c r="E173" s="10"/>
      <c r="F173" s="10"/>
      <c r="G173" s="43"/>
      <c r="H173" s="9"/>
    </row>
    <row r="174" spans="1:8" x14ac:dyDescent="0.25">
      <c r="A174" s="29">
        <v>21</v>
      </c>
      <c r="B174" s="30">
        <f>ιγ_Αποτελέσματα_Σεναρίων!$T$6/(1+ι_Μοντέλο_Ελέγχου_α!$B$10)^A174</f>
        <v>692.73256889757351</v>
      </c>
      <c r="C174" s="30">
        <f t="shared" si="3"/>
        <v>10609.743555121333</v>
      </c>
      <c r="D174" s="42"/>
      <c r="E174" s="10"/>
      <c r="F174" s="10"/>
      <c r="G174" s="43"/>
      <c r="H174" s="9"/>
    </row>
    <row r="175" spans="1:8" x14ac:dyDescent="0.25">
      <c r="A175" s="29">
        <v>22</v>
      </c>
      <c r="B175" s="30">
        <f>ιγ_Αποτελέσματα_Σεναρίων!$T$6/(1+ι_Μοντέλο_Ελέγχου_α!$B$10)^A175</f>
        <v>679.14957735056225</v>
      </c>
      <c r="C175" s="30">
        <f t="shared" si="3"/>
        <v>11288.893132471896</v>
      </c>
      <c r="D175" s="42"/>
      <c r="E175" s="10"/>
      <c r="F175" s="10"/>
      <c r="G175" s="43"/>
      <c r="H175" s="9"/>
    </row>
    <row r="176" spans="1:8" x14ac:dyDescent="0.25">
      <c r="A176" s="29">
        <v>23</v>
      </c>
      <c r="B176" s="30">
        <f>ιγ_Αποτελέσματα_Σεναρίων!$T$6/(1+ι_Μοντέλο_Ελέγχου_α!$B$10)^A176</f>
        <v>665.83291897113952</v>
      </c>
      <c r="C176" s="30">
        <f t="shared" si="3"/>
        <v>11954.726051443036</v>
      </c>
      <c r="D176" s="42"/>
      <c r="E176" s="10"/>
      <c r="F176" s="10"/>
      <c r="G176" s="43"/>
      <c r="H176" s="9"/>
    </row>
    <row r="177" spans="1:8" x14ac:dyDescent="0.25">
      <c r="A177" s="29">
        <v>24</v>
      </c>
      <c r="B177" s="30">
        <f>ιγ_Αποτελέσματα_Σεναρίων!$T$6/(1+ι_Μοντέλο_Ελέγχου_α!$B$10)^A177</f>
        <v>652.77737154033287</v>
      </c>
      <c r="C177" s="30">
        <f t="shared" si="3"/>
        <v>12607.503422983369</v>
      </c>
      <c r="D177" s="42"/>
      <c r="E177" s="10"/>
      <c r="F177" s="10"/>
      <c r="G177" s="43"/>
      <c r="H177" s="9"/>
    </row>
    <row r="178" spans="1:8" x14ac:dyDescent="0.25">
      <c r="A178" s="29">
        <v>25</v>
      </c>
      <c r="B178" s="30">
        <f>ιγ_Αποτελέσματα_Σεναρίων!$T$6/(1+ι_Μοντέλο_Ελέγχου_α!$B$10)^A178</f>
        <v>639.97781523562048</v>
      </c>
      <c r="C178" s="30">
        <f t="shared" si="3"/>
        <v>13247.48123821899</v>
      </c>
      <c r="D178" s="42"/>
      <c r="E178" s="10"/>
      <c r="F178" s="10"/>
      <c r="G178" s="43"/>
      <c r="H178" s="9"/>
    </row>
    <row r="179" spans="1:8" x14ac:dyDescent="0.25">
      <c r="A179" s="9"/>
      <c r="B179" s="9"/>
      <c r="C179" s="9"/>
      <c r="D179" s="9"/>
      <c r="E179" s="9"/>
      <c r="F179" s="9"/>
      <c r="G179" s="9"/>
      <c r="H179" s="9"/>
    </row>
    <row r="180" spans="1:8" x14ac:dyDescent="0.25">
      <c r="A180" s="9"/>
      <c r="B180" s="9"/>
      <c r="C180" s="9"/>
      <c r="D180" s="9"/>
      <c r="E180" s="9"/>
      <c r="F180" s="9"/>
      <c r="G180" s="9"/>
      <c r="H180" s="9"/>
    </row>
    <row r="181" spans="1:8" x14ac:dyDescent="0.25">
      <c r="A181" s="284" t="s">
        <v>204</v>
      </c>
      <c r="B181" s="282"/>
      <c r="C181" s="282"/>
      <c r="D181" s="282"/>
      <c r="E181" s="282"/>
      <c r="F181" s="282"/>
      <c r="G181" s="282"/>
      <c r="H181" s="283"/>
    </row>
    <row r="182" spans="1:8" ht="26.25" customHeight="1" x14ac:dyDescent="0.25">
      <c r="A182" s="31" t="s">
        <v>0</v>
      </c>
      <c r="B182" s="31" t="s">
        <v>1</v>
      </c>
      <c r="C182" s="31" t="s">
        <v>2</v>
      </c>
      <c r="D182" s="31" t="s">
        <v>3</v>
      </c>
      <c r="E182" s="31" t="s">
        <v>195</v>
      </c>
      <c r="F182" s="31" t="s">
        <v>13</v>
      </c>
      <c r="G182" s="31" t="s">
        <v>23</v>
      </c>
      <c r="H182" s="31"/>
    </row>
    <row r="183" spans="1:8" x14ac:dyDescent="0.25">
      <c r="A183" s="32" t="str">
        <f>ι_Μοντέλο_Ελέγχου_α!$A$43</f>
        <v>Μπαταρία 10 kWh</v>
      </c>
      <c r="B183" s="33">
        <f>ι_Μοντέλο_Ελέγχου_α!$B$43</f>
        <v>10</v>
      </c>
      <c r="C183" s="33">
        <f>ι_Μοντέλο_Ελέγχου_α!$C$43</f>
        <v>300</v>
      </c>
      <c r="D183" s="34">
        <f>ι_Μοντέλο_Ελέγχου_α!$D$43</f>
        <v>4800</v>
      </c>
      <c r="E183" s="35">
        <f>IF(COUNTIF($G$187:$G$197,1)=0,INDEX($A$187:$A$197,MIN(ROWS($A$187:$A$197),MATCH(ι_Μοντέλο_Ελέγχου_α!$B$15,$B$187:$B$197,1)+1)),INDEX($A$187:$A$197,_xlfn.AGGREGATE(15,6,(ROW($F$187:$F$197)-ROW($F$187)+1)/(($G$187:$G$197=1)*($F$187:$F$197=_xlfn.AGGREGATE(15,6,$F$187:$F$197/($G$187:$G$197=1),1))),1)))</f>
        <v>3.96</v>
      </c>
      <c r="F183" s="35">
        <f>INDEX($C$187:$C$197,MATCH(E183,$A$187:$A$197,0))</f>
        <v>2452.8879999999999</v>
      </c>
      <c r="G183" s="35">
        <f>DPP_FromNPV($C$202:$C$227,$A$202:$A$227,$B$202:$B$227)</f>
        <v>8.8648319850165311</v>
      </c>
      <c r="H183" s="32"/>
    </row>
    <row r="184" spans="1:8" x14ac:dyDescent="0.25">
      <c r="A184" s="9"/>
      <c r="B184" s="9"/>
      <c r="C184" s="9"/>
      <c r="D184" s="42"/>
      <c r="E184" s="10"/>
      <c r="F184" s="10"/>
      <c r="G184" s="43"/>
      <c r="H184" s="9"/>
    </row>
    <row r="185" spans="1:8" x14ac:dyDescent="0.25">
      <c r="A185" s="281" t="s">
        <v>196</v>
      </c>
      <c r="B185" s="282"/>
      <c r="C185" s="282"/>
      <c r="D185" s="282"/>
      <c r="E185" s="282"/>
      <c r="F185" s="282"/>
      <c r="G185" s="283"/>
      <c r="H185" s="9"/>
    </row>
    <row r="186" spans="1:8" ht="26.25" customHeight="1" x14ac:dyDescent="0.25">
      <c r="A186" s="31" t="s">
        <v>28</v>
      </c>
      <c r="B186" s="31" t="s">
        <v>197</v>
      </c>
      <c r="C186" s="31" t="s">
        <v>13</v>
      </c>
      <c r="D186" s="36" t="s">
        <v>49</v>
      </c>
      <c r="E186" s="37" t="s">
        <v>19</v>
      </c>
      <c r="F186" s="37" t="s">
        <v>23</v>
      </c>
      <c r="G186" s="38" t="s">
        <v>198</v>
      </c>
      <c r="H186" s="9"/>
    </row>
    <row r="187" spans="1:8" x14ac:dyDescent="0.25">
      <c r="A187" s="29">
        <f>ι_Μοντέλο_Ελέγχου_α!$B$5*(ROW()-187)/10</f>
        <v>0</v>
      </c>
      <c r="B187" s="29">
        <f>AnnualSelfConsumptionWithBattery(A187,ι_Μοντέλο_Ελέγχου_α!$B$22:$B$33,ι_Μοντέλο_Ελέγχου_α!$C$22:$C$33,ι_Μοντέλο_Ελέγχου_α!$D$22:$D$33,ι_Μοντέλο_Ελέγχου_α!$C$43)</f>
        <v>0</v>
      </c>
      <c r="C187" s="29">
        <f>ι_Μοντέλο_Ελέγχου_α!$C$34-B187</f>
        <v>7500</v>
      </c>
      <c r="D187" s="30">
        <f>A187*ι_Μοντέλο_Ελέγχου_α!$B$7+ι_Μοντέλο_Ελέγχου_α!$D$43</f>
        <v>4800</v>
      </c>
      <c r="E187" s="39">
        <f>B187*ι_Μοντέλο_Ελέγχου_α!$B$8+MAX(A187*ι_Μοντέλο_Ελέγχου_α!$B$14-B187,0)*ι_Μοντέλο_Ελέγχου_α!$B$9</f>
        <v>0</v>
      </c>
      <c r="F187" s="39"/>
      <c r="G187" s="40">
        <f>IF(AND(C187&lt;=ι_Μοντέλο_Ελέγχου_α!$B$16,ISNUMBER(F187),F187&lt;=$B$4),1,0)</f>
        <v>0</v>
      </c>
      <c r="H187" s="9"/>
    </row>
    <row r="188" spans="1:8" x14ac:dyDescent="0.25">
      <c r="A188" s="29">
        <f>ι_Μοντέλο_Ελέγχου_α!$B$5*(ROW()-187)/10</f>
        <v>0.99</v>
      </c>
      <c r="B188" s="29">
        <f>AnnualSelfConsumptionWithBattery(A188,ι_Μοντέλο_Ελέγχου_α!$B$22:$B$33,ι_Μοντέλο_Ελέγχου_α!$C$22:$C$33,ι_Μοντέλο_Ελέγχου_α!$D$22:$D$33,ι_Μοντέλο_Ελέγχου_α!$C$43)</f>
        <v>1430.6490000000001</v>
      </c>
      <c r="C188" s="29">
        <f>ι_Μοντέλο_Ελέγχου_α!$C$34-B188</f>
        <v>6069.3509999999997</v>
      </c>
      <c r="D188" s="30">
        <f>A188*ι_Μοντέλο_Ελέγχου_α!$B$7+ι_Μοντέλο_Ελέγχου_α!$D$43</f>
        <v>5712.8</v>
      </c>
      <c r="E188" s="39">
        <f>B188*ι_Μοντέλο_Ελέγχου_α!$B$8+MAX(A188*ι_Μοντέλο_Ελέγχου_α!$B$14-B188,0)*ι_Μοντέλο_Ελέγχου_α!$B$9</f>
        <v>286.12980000000005</v>
      </c>
      <c r="F188" s="39">
        <f>-LN(1-D188*ι_Μοντέλο_Ελέγχου_α!$B$10/E188)/LN(1+ι_Μοντέλο_Ελέγχου_α!$B$10)</f>
        <v>25.738254819183961</v>
      </c>
      <c r="G188" s="40">
        <f>IF(AND(C188&lt;=ι_Μοντέλο_Ελέγχου_α!$B$16,ISNUMBER(F188),F188&lt;=$B$4),1,0)</f>
        <v>0</v>
      </c>
      <c r="H188" s="9"/>
    </row>
    <row r="189" spans="1:8" x14ac:dyDescent="0.25">
      <c r="A189" s="29">
        <f>ι_Μοντέλο_Ελέγχου_α!$B$5*(ROW()-187)/10</f>
        <v>1.98</v>
      </c>
      <c r="B189" s="29">
        <f>AnnualSelfConsumptionWithBattery(A189,ι_Μοντέλο_Ελέγχου_α!$B$22:$B$33,ι_Μοντέλο_Ελέγχου_α!$C$22:$C$33,ι_Μοντέλο_Ελέγχου_α!$D$22:$D$33,ι_Μοντέλο_Ελέγχου_α!$C$43)</f>
        <v>2861.2980000000002</v>
      </c>
      <c r="C189" s="29">
        <f>ι_Μοντέλο_Ελέγχου_α!$C$34-B189</f>
        <v>4638.7019999999993</v>
      </c>
      <c r="D189" s="30">
        <f>A189*ι_Μοντέλο_Ελέγχου_α!$B$7+ι_Μοντέλο_Ελέγχου_α!$D$43</f>
        <v>6625.6</v>
      </c>
      <c r="E189" s="39">
        <f>B189*ι_Μοντέλο_Ελέγχου_α!$B$8+MAX(A189*ι_Μοντέλο_Ελέγχου_α!$B$14-B189,0)*ι_Μοντέλο_Ελέγχου_α!$B$9</f>
        <v>572.25960000000009</v>
      </c>
      <c r="F189" s="39">
        <f>-LN(1-D189*ι_Μοντέλο_Ελέγχου_α!$B$10/E189)/LN(1+ι_Μοντέλο_Ελέγχου_α!$B$10)</f>
        <v>13.300851684011469</v>
      </c>
      <c r="G189" s="40">
        <f>IF(AND(C189&lt;=ι_Μοντέλο_Ελέγχου_α!$B$16,ISNUMBER(F189),F189&lt;=$B$4),1,0)</f>
        <v>0</v>
      </c>
      <c r="H189" s="9"/>
    </row>
    <row r="190" spans="1:8" x14ac:dyDescent="0.25">
      <c r="A190" s="29">
        <f>ι_Μοντέλο_Ελέγχου_α!$B$5*(ROW()-187)/10</f>
        <v>2.97</v>
      </c>
      <c r="B190" s="29">
        <f>AnnualSelfConsumptionWithBattery(A190,ι_Μοντέλο_Ελέγχου_α!$B$22:$B$33,ι_Μοντέλο_Ελέγχου_α!$C$22:$C$33,ι_Μοντέλο_Ελέγχου_α!$D$22:$D$33,ι_Μοντέλο_Ελέγχου_α!$C$43)</f>
        <v>4232.5330000000004</v>
      </c>
      <c r="C190" s="29">
        <f>ι_Μοντέλο_Ελέγχου_α!$C$34-B190</f>
        <v>3267.4669999999996</v>
      </c>
      <c r="D190" s="30">
        <f>A190*ι_Μοντέλο_Ελέγχου_α!$B$7+ι_Μοντέλο_Ελέγχου_α!$D$43</f>
        <v>7538.4</v>
      </c>
      <c r="E190" s="39">
        <f>B190*ι_Μοντέλο_Ελέγχου_α!$B$8+MAX(A190*ι_Μοντέλο_Ελέγχου_α!$B$14-B190,0)*ι_Μοντέλο_Ελέγχου_α!$B$9</f>
        <v>850.07144000000017</v>
      </c>
      <c r="F190" s="39">
        <f>-LN(1-D190*ι_Μοντέλο_Ελέγχου_α!$B$10/E190)/LN(1+ι_Μοντέλο_Ελέγχου_α!$B$10)</f>
        <v>9.8590775955497971</v>
      </c>
      <c r="G190" s="40">
        <f>IF(AND(C190&lt;=ι_Μοντέλο_Ελέγχου_α!$B$16,ISNUMBER(F190),F190&lt;=$B$4),1,0)</f>
        <v>0</v>
      </c>
      <c r="H190" s="9"/>
    </row>
    <row r="191" spans="1:8" x14ac:dyDescent="0.25">
      <c r="A191" s="29">
        <f>ι_Μοντέλο_Ελέγχου_α!$B$5*(ROW()-187)/10</f>
        <v>3.96</v>
      </c>
      <c r="B191" s="29">
        <f>AnnualSelfConsumptionWithBattery(A191,ι_Μοντέλο_Ελέγχου_α!$B$22:$B$33,ι_Μοντέλο_Ελέγχου_α!$C$22:$C$33,ι_Μοντέλο_Ελέγχου_α!$D$22:$D$33,ι_Μοντέλο_Ελέγχου_α!$C$43)</f>
        <v>5047.1120000000001</v>
      </c>
      <c r="C191" s="29">
        <f>ι_Μοντέλο_Ελέγχου_α!$C$34-B191</f>
        <v>2452.8879999999999</v>
      </c>
      <c r="D191" s="30">
        <f>A191*ι_Μοντέλο_Ελέγχου_α!$B$7+ι_Μοντέλο_Ελέγχου_α!$D$43</f>
        <v>8451.2000000000007</v>
      </c>
      <c r="E191" s="39">
        <f>B191*ι_Μοντέλο_Ελέγχου_α!$B$8+MAX(A191*ι_Μοντέλο_Ελέγχου_α!$B$14-B191,0)*ι_Μοντέλο_Ελέγχου_α!$B$9</f>
        <v>1049.95144</v>
      </c>
      <c r="F191" s="39">
        <f>-LN(1-D191*ι_Μοντέλο_Ελέγχου_α!$B$10/E191)/LN(1+ι_Μοντέλο_Ελέγχου_α!$B$10)</f>
        <v>8.8636689590204565</v>
      </c>
      <c r="G191" s="40">
        <f>IF(AND(C191&lt;=ι_Μοντέλο_Ελέγχου_α!$B$16,ISNUMBER(F191),F191&lt;=$B$4),1,0)</f>
        <v>0</v>
      </c>
      <c r="H191" s="9"/>
    </row>
    <row r="192" spans="1:8" x14ac:dyDescent="0.25">
      <c r="A192" s="29">
        <f>ι_Μοντέλο_Ελέγχου_α!$B$5*(ROW()-187)/10</f>
        <v>4.95</v>
      </c>
      <c r="B192" s="29">
        <f>AnnualSelfConsumptionWithBattery(A192,ι_Μοντέλο_Ελέγχου_α!$B$22:$B$33,ι_Μοντέλο_Ελέγχου_α!$C$22:$C$33,ι_Μοντέλο_Ελέγχου_α!$D$22:$D$33,ι_Μοντέλο_Ελέγχου_α!$C$43)</f>
        <v>5583.89</v>
      </c>
      <c r="C192" s="29">
        <f>ι_Μοντέλο_Ελέγχου_α!$C$34-B192</f>
        <v>1916.1099999999997</v>
      </c>
      <c r="D192" s="30">
        <f>A192*ι_Μοντέλο_Ελέγχου_α!$B$7+ι_Μοντέλο_Ελέγχου_α!$D$43</f>
        <v>9364</v>
      </c>
      <c r="E192" s="39">
        <f>B192*ι_Μοντέλο_Ελέγχου_α!$B$8+MAX(A192*ι_Μοντέλο_Ελέγχου_α!$B$14-B192,0)*ι_Μοντέλο_Ελέγχου_α!$B$9</f>
        <v>1210.9393</v>
      </c>
      <c r="F192" s="39">
        <f>-LN(1-D192*ι_Μοντέλο_Ελέγχου_α!$B$10/E192)/LN(1+ι_Μοντέλο_Ελέγχου_α!$B$10)</f>
        <v>8.4843581877061283</v>
      </c>
      <c r="G192" s="40">
        <f>IF(AND(C192&lt;=ι_Μοντέλο_Ελέγχου_α!$B$16,ISNUMBER(F192),F192&lt;=$B$4),1,0)</f>
        <v>0</v>
      </c>
      <c r="H192" s="9"/>
    </row>
    <row r="193" spans="1:8" x14ac:dyDescent="0.25">
      <c r="A193" s="29">
        <f>ι_Μοντέλο_Ελέγχου_α!$B$5*(ROW()-187)/10</f>
        <v>5.94</v>
      </c>
      <c r="B193" s="29">
        <f>AnnualSelfConsumptionWithBattery(A193,ι_Μοντέλο_Ελέγχου_α!$B$22:$B$33,ι_Μοντέλο_Ελέγχου_α!$C$22:$C$33,ι_Μοντέλο_Ελέγχου_α!$D$22:$D$33,ι_Μοντέλο_Ελέγχου_α!$C$43)</f>
        <v>6102.9080000000004</v>
      </c>
      <c r="C193" s="29">
        <f>ι_Μοντέλο_Ελέγχου_α!$C$34-B193</f>
        <v>1397.0919999999996</v>
      </c>
      <c r="D193" s="30">
        <f>A193*ι_Μοντέλο_Ελέγχου_α!$B$7+ι_Μοντέλο_Ελέγχου_α!$D$43</f>
        <v>10276.799999999999</v>
      </c>
      <c r="E193" s="39">
        <f>B193*ι_Μοντέλο_Ελέγχου_α!$B$8+MAX(A193*ι_Μοντέλο_Ελέγχου_α!$B$14-B193,0)*ι_Μοντέλο_Ελέγχου_α!$B$9</f>
        <v>1369.4407600000004</v>
      </c>
      <c r="F193" s="39">
        <f>-LN(1-D193*ι_Μοντέλο_Ελέγχου_α!$B$10/E193)/LN(1+ι_Μοντέλο_Ελέγχου_α!$B$10)</f>
        <v>8.2121389770284505</v>
      </c>
      <c r="G193" s="40">
        <f>IF(AND(C193&lt;=ι_Μοντέλο_Ελέγχου_α!$B$16,ISNUMBER(F193),F193&lt;=$B$4),1,0)</f>
        <v>0</v>
      </c>
      <c r="H193" s="9"/>
    </row>
    <row r="194" spans="1:8" x14ac:dyDescent="0.25">
      <c r="A194" s="29">
        <f>ι_Μοντέλο_Ελέγχου_α!$B$5*(ROW()-187)/10</f>
        <v>6.93</v>
      </c>
      <c r="B194" s="29">
        <f>AnnualSelfConsumptionWithBattery(A194,ι_Μοντέλο_Ελέγχου_α!$B$22:$B$33,ι_Μοντέλο_Ελέγχου_α!$C$22:$C$33,ι_Μοντέλο_Ελέγχου_α!$D$22:$D$33,ι_Μοντέλο_Ελέγχου_α!$C$43)</f>
        <v>6503.1439999999993</v>
      </c>
      <c r="C194" s="29">
        <f>ι_Μοντέλο_Ελέγχου_α!$C$34-B194</f>
        <v>996.85600000000068</v>
      </c>
      <c r="D194" s="30">
        <f>A194*ι_Μοντέλο_Ελέγχου_α!$B$7+ι_Μοντέλο_Ελέγχου_α!$D$43</f>
        <v>11189.599999999999</v>
      </c>
      <c r="E194" s="39">
        <f>B194*ι_Μοντέλο_Ελέγχου_α!$B$8+MAX(A194*ι_Μοντέλο_Ελέγχου_α!$B$14-B194,0)*ι_Μοντέλο_Ελέγχου_α!$B$9</f>
        <v>1511.3127399999998</v>
      </c>
      <c r="F194" s="39">
        <f>-LN(1-D194*ι_Μοντέλο_Ελέγχου_α!$B$10/E194)/LN(1+ι_Μοντέλο_Ελέγχου_α!$B$10)</f>
        <v>8.0928743861212062</v>
      </c>
      <c r="G194" s="40">
        <f>IF(AND(C194&lt;=ι_Μοντέλο_Ελέγχου_α!$B$16,ISNUMBER(F194),F194&lt;=$B$4),1,0)</f>
        <v>0</v>
      </c>
      <c r="H194" s="9"/>
    </row>
    <row r="195" spans="1:8" x14ac:dyDescent="0.25">
      <c r="A195" s="29">
        <f>ι_Μοντέλο_Ελέγχου_α!$B$5*(ROW()-187)/10</f>
        <v>7.92</v>
      </c>
      <c r="B195" s="29">
        <f>AnnualSelfConsumptionWithBattery(A195,ι_Μοντέλο_Ελέγχου_α!$B$22:$B$33,ι_Μοντέλο_Ελέγχου_α!$C$22:$C$33,ι_Μοντέλο_Ελέγχου_α!$D$22:$D$33,ι_Μοντέλο_Ελέγχου_α!$C$43)</f>
        <v>6783.3760000000002</v>
      </c>
      <c r="C195" s="29">
        <f>ι_Μοντέλο_Ελέγχου_α!$C$34-B195</f>
        <v>716.6239999999998</v>
      </c>
      <c r="D195" s="30">
        <f>A195*ι_Μοντέλο_Ελέγχου_α!$B$7+ι_Μοντέλο_Ελέγχου_α!$D$43</f>
        <v>12102.4</v>
      </c>
      <c r="E195" s="39">
        <f>B195*ι_Μοντέλο_Ελέγχου_α!$B$8+MAX(A195*ι_Μοντέλο_Ελέγχου_α!$B$14-B195,0)*ι_Μοντέλο_Ελέγχου_α!$B$9</f>
        <v>1636.3841600000001</v>
      </c>
      <c r="F195" s="39">
        <f>-LN(1-D195*ι_Μοντέλο_Ελέγχου_α!$B$10/E195)/LN(1+ι_Μοντέλο_Ελέγχου_α!$B$10)</f>
        <v>8.0833009582106996</v>
      </c>
      <c r="G195" s="40">
        <f>IF(AND(C195&lt;=ι_Μοντέλο_Ελέγχου_α!$B$16,ISNUMBER(F195),F195&lt;=$B$4),1,0)</f>
        <v>0</v>
      </c>
      <c r="H195" s="9"/>
    </row>
    <row r="196" spans="1:8" x14ac:dyDescent="0.25">
      <c r="A196" s="29">
        <f>ι_Μοντέλο_Ελέγχου_α!$B$5*(ROW()-187)/10</f>
        <v>8.91</v>
      </c>
      <c r="B196" s="29">
        <f>AnnualSelfConsumptionWithBattery(A196,ι_Μοντέλο_Ελέγχου_α!$B$22:$B$33,ι_Μοντέλο_Ελέγχου_α!$C$22:$C$33,ι_Μοντέλο_Ελέγχου_α!$D$22:$D$33,ι_Μοντέλο_Ελέγχου_α!$C$43)</f>
        <v>6909.634</v>
      </c>
      <c r="C196" s="29">
        <f>ι_Μοντέλο_Ελέγχου_α!$C$34-B196</f>
        <v>590.36599999999999</v>
      </c>
      <c r="D196" s="30">
        <f>A196*ι_Μοντέλο_Ελέγχου_α!$B$7+ι_Μοντέλο_Ελέγχου_α!$D$43</f>
        <v>13015.199999999999</v>
      </c>
      <c r="E196" s="39">
        <f>B196*ι_Μοντέλο_Ελέγχου_α!$B$8+MAX(A196*ι_Μοντέλο_Ελέγχου_α!$B$14-B196,0)*ι_Μοντέλο_Ελέγχου_α!$B$9</f>
        <v>1739.8992200000002</v>
      </c>
      <c r="F196" s="39">
        <f>-LN(1-D196*ι_Μοντέλο_Ελέγχου_α!$B$10/E196)/LN(1+ι_Μοντέλο_Ελέγχου_α!$B$10)</f>
        <v>8.1836939723645905</v>
      </c>
      <c r="G196" s="40">
        <f>IF(AND(C196&lt;=ι_Μοντέλο_Ελέγχου_α!$B$16,ISNUMBER(F196),F196&lt;=$B$4),1,0)</f>
        <v>0</v>
      </c>
      <c r="H196" s="9"/>
    </row>
    <row r="197" spans="1:8" x14ac:dyDescent="0.25">
      <c r="A197" s="29">
        <f>ι_Μοντέλο_Ελέγχου_α!$B$5*(ROW()-187)/10</f>
        <v>9.9</v>
      </c>
      <c r="B197" s="29">
        <f>AnnualSelfConsumptionWithBattery(A197,ι_Μοντέλο_Ελέγχου_α!$B$22:$B$33,ι_Μοντέλο_Ελέγχου_α!$C$22:$C$33,ι_Μοντέλο_Ελέγχου_α!$D$22:$D$33,ι_Μοντέλο_Ελέγχου_α!$C$43)</f>
        <v>6920</v>
      </c>
      <c r="C197" s="29">
        <f>ι_Μοντέλο_Ελέγχου_α!$C$34-B197</f>
        <v>580</v>
      </c>
      <c r="D197" s="30">
        <f>A197*ι_Μοντέλο_Ελέγχου_α!$B$7+ι_Μοντέλο_Ελέγχου_α!$D$43</f>
        <v>13928</v>
      </c>
      <c r="E197" s="39">
        <f>B197*ι_Μοντέλο_Ελέγχου_α!$B$8+MAX(A197*ι_Μοντέλο_Ελέγχου_α!$B$14-B197,0)*ι_Μοντέλο_Ελέγχου_α!$B$9</f>
        <v>1827.1894000000002</v>
      </c>
      <c r="F197" s="39">
        <f>-LN(1-D197*ι_Μοντέλο_Ελέγχου_α!$B$10/E197)/LN(1+ι_Μοντέλο_Ελέγχου_α!$B$10)</f>
        <v>8.3528642479104036</v>
      </c>
      <c r="G197" s="40">
        <f>IF(AND(C197&lt;=ι_Μοντέλο_Ελέγχου_α!$B$16,ISNUMBER(F197),F197&lt;=$B$4),1,0)</f>
        <v>0</v>
      </c>
      <c r="H197" s="9"/>
    </row>
    <row r="198" spans="1:8" x14ac:dyDescent="0.25">
      <c r="A198" s="9"/>
      <c r="B198" s="9"/>
      <c r="C198" s="9"/>
      <c r="D198" s="42"/>
      <c r="E198" s="10"/>
      <c r="F198" s="10"/>
      <c r="G198" s="43"/>
      <c r="H198" s="9"/>
    </row>
    <row r="199" spans="1:8" x14ac:dyDescent="0.25">
      <c r="A199" s="9"/>
      <c r="B199" s="9"/>
      <c r="C199" s="9"/>
      <c r="D199" s="42"/>
      <c r="E199" s="10"/>
      <c r="F199" s="10"/>
      <c r="G199" s="43"/>
      <c r="H199" s="9"/>
    </row>
    <row r="200" spans="1:8" x14ac:dyDescent="0.25">
      <c r="A200" s="281" t="s">
        <v>199</v>
      </c>
      <c r="B200" s="282"/>
      <c r="C200" s="283"/>
      <c r="D200" s="42"/>
      <c r="E200" s="10"/>
      <c r="F200" s="10"/>
      <c r="G200" s="43"/>
      <c r="H200" s="9"/>
    </row>
    <row r="201" spans="1:8" x14ac:dyDescent="0.25">
      <c r="A201" s="31" t="s">
        <v>29</v>
      </c>
      <c r="B201" s="31" t="s">
        <v>200</v>
      </c>
      <c r="C201" s="31" t="s">
        <v>201</v>
      </c>
      <c r="D201" s="42"/>
      <c r="E201" s="10"/>
      <c r="F201" s="10"/>
      <c r="G201" s="43"/>
      <c r="H201" s="9"/>
    </row>
    <row r="202" spans="1:8" x14ac:dyDescent="0.25">
      <c r="A202" s="29">
        <v>0</v>
      </c>
      <c r="B202" s="30">
        <v>0</v>
      </c>
      <c r="C202" s="30">
        <f>-ιγ_Αποτελέσματα_Σεναρίων!$H$7</f>
        <v>-8451.2000000000007</v>
      </c>
      <c r="D202" s="42"/>
      <c r="E202" s="10"/>
      <c r="F202" s="10"/>
      <c r="G202" s="43"/>
      <c r="H202" s="9"/>
    </row>
    <row r="203" spans="1:8" x14ac:dyDescent="0.25">
      <c r="A203" s="29">
        <v>1</v>
      </c>
      <c r="B203" s="30">
        <f>ιγ_Αποτελέσματα_Σεναρίων!$T$7/(1+ι_Μοντέλο_Ελέγχου_α!$B$10)^A203</f>
        <v>1029.3641568627452</v>
      </c>
      <c r="C203" s="30">
        <f t="shared" ref="C203:C227" si="4">C202+B203</f>
        <v>-7421.8358431372553</v>
      </c>
      <c r="D203" s="42"/>
      <c r="E203" s="10"/>
      <c r="F203" s="10"/>
      <c r="G203" s="43"/>
      <c r="H203" s="9"/>
    </row>
    <row r="204" spans="1:8" x14ac:dyDescent="0.25">
      <c r="A204" s="29">
        <v>2</v>
      </c>
      <c r="B204" s="30">
        <f>ιγ_Αποτελέσματα_Σεναρίων!$T$7/(1+ι_Μοντέλο_Ελέγχου_α!$B$10)^A204</f>
        <v>1009.1805459438677</v>
      </c>
      <c r="C204" s="30">
        <f t="shared" si="4"/>
        <v>-6412.6552971933879</v>
      </c>
      <c r="D204" s="42"/>
      <c r="E204" s="10"/>
      <c r="F204" s="10"/>
      <c r="G204" s="43"/>
      <c r="H204" s="9"/>
    </row>
    <row r="205" spans="1:8" x14ac:dyDescent="0.25">
      <c r="A205" s="29">
        <v>3</v>
      </c>
      <c r="B205" s="30">
        <f>ιγ_Αποτελέσματα_Σεναρίων!$T$7/(1+ι_Μοντέλο_Ελέγχου_α!$B$10)^A205</f>
        <v>989.39269210183124</v>
      </c>
      <c r="C205" s="30">
        <f t="shared" si="4"/>
        <v>-5423.2626050915569</v>
      </c>
      <c r="D205" s="42"/>
      <c r="E205" s="10"/>
      <c r="F205" s="10"/>
      <c r="G205" s="43"/>
      <c r="H205" s="9"/>
    </row>
    <row r="206" spans="1:8" x14ac:dyDescent="0.25">
      <c r="A206" s="29">
        <v>4</v>
      </c>
      <c r="B206" s="30">
        <f>ιγ_Αποτελέσματα_Σεναρίων!$T$7/(1+ι_Μοντέλο_Ελέγχου_α!$B$10)^A206</f>
        <v>969.99283539395219</v>
      </c>
      <c r="C206" s="30">
        <f t="shared" si="4"/>
        <v>-4453.2697696976047</v>
      </c>
      <c r="D206" s="42"/>
      <c r="E206" s="10"/>
      <c r="F206" s="10"/>
      <c r="G206" s="43"/>
      <c r="H206" s="9"/>
    </row>
    <row r="207" spans="1:8" x14ac:dyDescent="0.25">
      <c r="A207" s="29">
        <v>5</v>
      </c>
      <c r="B207" s="30">
        <f>ιγ_Αποτελέσματα_Σεναρίων!$T$7/(1+ι_Μοντέλο_Ελέγχου_α!$B$10)^A207</f>
        <v>950.97336803328642</v>
      </c>
      <c r="C207" s="30">
        <f t="shared" si="4"/>
        <v>-3502.2964016643182</v>
      </c>
      <c r="D207" s="42"/>
      <c r="E207" s="10"/>
      <c r="F207" s="10"/>
      <c r="G207" s="43"/>
      <c r="H207" s="9"/>
    </row>
    <row r="208" spans="1:8" x14ac:dyDescent="0.25">
      <c r="A208" s="29">
        <v>6</v>
      </c>
      <c r="B208" s="30">
        <f>ιγ_Αποτελέσματα_Σεναρίων!$T$7/(1+ι_Μοντέλο_Ελέγχου_α!$B$10)^A208</f>
        <v>932.3268314051827</v>
      </c>
      <c r="C208" s="30">
        <f t="shared" si="4"/>
        <v>-2569.9695702591353</v>
      </c>
      <c r="D208" s="42"/>
      <c r="E208" s="10"/>
      <c r="F208" s="10"/>
      <c r="G208" s="43"/>
      <c r="H208" s="9"/>
    </row>
    <row r="209" spans="1:8" x14ac:dyDescent="0.25">
      <c r="A209" s="29">
        <v>7</v>
      </c>
      <c r="B209" s="30">
        <f>ιγ_Αποτελέσματα_Σεναρίων!$T$7/(1+ι_Μοντέλο_Ελέγχου_α!$B$10)^A209</f>
        <v>914.04591314233619</v>
      </c>
      <c r="C209" s="30">
        <f t="shared" si="4"/>
        <v>-1655.9236571167989</v>
      </c>
      <c r="D209" s="42"/>
      <c r="E209" s="10"/>
      <c r="F209" s="10"/>
      <c r="G209" s="43"/>
      <c r="H209" s="9"/>
    </row>
    <row r="210" spans="1:8" x14ac:dyDescent="0.25">
      <c r="A210" s="29">
        <v>8</v>
      </c>
      <c r="B210" s="30">
        <f>ιγ_Αποτελέσματα_Σεναρίων!$T$7/(1+ι_Μοντέλο_Ελέγχου_α!$B$10)^A210</f>
        <v>896.1234442571922</v>
      </c>
      <c r="C210" s="30">
        <f t="shared" si="4"/>
        <v>-759.80021285960675</v>
      </c>
      <c r="D210" s="42"/>
      <c r="E210" s="10"/>
      <c r="F210" s="10"/>
      <c r="G210" s="43"/>
      <c r="H210" s="9"/>
    </row>
    <row r="211" spans="1:8" x14ac:dyDescent="0.25">
      <c r="A211" s="29">
        <v>9</v>
      </c>
      <c r="B211" s="30">
        <f>ιγ_Αποτελέσματα_Σεναρίων!$T$7/(1+ι_Μοντέλο_Ελέγχου_α!$B$10)^A211</f>
        <v>878.55239633058068</v>
      </c>
      <c r="C211" s="30">
        <f t="shared" si="4"/>
        <v>118.75218347097393</v>
      </c>
      <c r="D211" s="42"/>
      <c r="E211" s="10"/>
      <c r="F211" s="10"/>
      <c r="G211" s="43"/>
      <c r="H211" s="9"/>
    </row>
    <row r="212" spans="1:8" x14ac:dyDescent="0.25">
      <c r="A212" s="29">
        <v>10</v>
      </c>
      <c r="B212" s="30">
        <f>ιγ_Αποτελέσματα_Σεναρίων!$T$7/(1+ι_Μοντέλο_Ελέγχου_α!$B$10)^A212</f>
        <v>861.32587875547119</v>
      </c>
      <c r="C212" s="30">
        <f t="shared" si="4"/>
        <v>980.07806222644513</v>
      </c>
      <c r="D212" s="42"/>
      <c r="E212" s="10"/>
      <c r="F212" s="10"/>
      <c r="G212" s="43"/>
      <c r="H212" s="9"/>
    </row>
    <row r="213" spans="1:8" x14ac:dyDescent="0.25">
      <c r="A213" s="29">
        <v>11</v>
      </c>
      <c r="B213" s="30">
        <f>ιγ_Αποτελέσματα_Σεναρίων!$T$7/(1+ι_Μοντέλο_Ελέγχου_α!$B$10)^A213</f>
        <v>844.43713603477579</v>
      </c>
      <c r="C213" s="30">
        <f t="shared" si="4"/>
        <v>1824.515198261221</v>
      </c>
      <c r="D213" s="42"/>
      <c r="E213" s="10"/>
      <c r="F213" s="10"/>
      <c r="G213" s="43"/>
      <c r="H213" s="9"/>
    </row>
    <row r="214" spans="1:8" x14ac:dyDescent="0.25">
      <c r="A214" s="29">
        <v>12</v>
      </c>
      <c r="B214" s="30">
        <f>ιγ_Αποτελέσματα_Σεναρίων!$T$7/(1+ι_Μοντέλο_Ελέγχου_α!$B$10)^A214</f>
        <v>827.87954513213299</v>
      </c>
      <c r="C214" s="30">
        <f t="shared" si="4"/>
        <v>2652.394743393354</v>
      </c>
      <c r="D214" s="42"/>
      <c r="E214" s="10"/>
      <c r="F214" s="10"/>
      <c r="G214" s="43"/>
      <c r="H214" s="9"/>
    </row>
    <row r="215" spans="1:8" x14ac:dyDescent="0.25">
      <c r="A215" s="29">
        <v>13</v>
      </c>
      <c r="B215" s="30">
        <f>ιγ_Αποτελέσματα_Σεναρίων!$T$7/(1+ι_Μοντέλο_Ελέγχου_α!$B$10)^A215</f>
        <v>811.64661287464025</v>
      </c>
      <c r="C215" s="30">
        <f t="shared" si="4"/>
        <v>3464.0413562679942</v>
      </c>
      <c r="D215" s="42"/>
      <c r="E215" s="10"/>
      <c r="F215" s="10"/>
      <c r="G215" s="43"/>
      <c r="H215" s="9"/>
    </row>
    <row r="216" spans="1:8" x14ac:dyDescent="0.25">
      <c r="A216" s="29">
        <v>14</v>
      </c>
      <c r="B216" s="30">
        <f>ιγ_Αποτελέσματα_Σεναρίων!$T$7/(1+ι_Μοντέλο_Ελέγχου_α!$B$10)^A216</f>
        <v>795.73197340650995</v>
      </c>
      <c r="C216" s="30">
        <f t="shared" si="4"/>
        <v>4259.7733296745046</v>
      </c>
      <c r="D216" s="42"/>
      <c r="E216" s="10"/>
      <c r="F216" s="10"/>
      <c r="G216" s="43"/>
      <c r="H216" s="9"/>
    </row>
    <row r="217" spans="1:8" x14ac:dyDescent="0.25">
      <c r="A217" s="29">
        <v>15</v>
      </c>
      <c r="B217" s="30">
        <f>ιγ_Αποτελέσματα_Σεναρίων!$T$7/(1+ι_Μοντέλο_Ελέγχου_α!$B$10)^A217</f>
        <v>780.12938569265702</v>
      </c>
      <c r="C217" s="30">
        <f t="shared" si="4"/>
        <v>5039.9027153671614</v>
      </c>
      <c r="D217" s="42"/>
      <c r="E217" s="10"/>
      <c r="F217" s="10"/>
      <c r="G217" s="43"/>
      <c r="H217" s="9"/>
    </row>
    <row r="218" spans="1:8" x14ac:dyDescent="0.25">
      <c r="A218" s="29">
        <v>16</v>
      </c>
      <c r="B218" s="30">
        <f>ιγ_Αποτελέσματα_Σεναρίων!$T$7/(1+ι_Μοντέλο_Ελέγχου_α!$B$10)^A218</f>
        <v>764.83273107123227</v>
      </c>
      <c r="C218" s="30">
        <f t="shared" si="4"/>
        <v>5804.7354464383934</v>
      </c>
      <c r="D218" s="42"/>
      <c r="E218" s="10"/>
      <c r="F218" s="10"/>
      <c r="G218" s="43"/>
      <c r="H218" s="9"/>
    </row>
    <row r="219" spans="1:8" x14ac:dyDescent="0.25">
      <c r="A219" s="29">
        <v>17</v>
      </c>
      <c r="B219" s="30">
        <f>ιγ_Αποτελέσματα_Σεναρίων!$T$7/(1+ι_Μοντέλο_Ελέγχου_α!$B$10)^A219</f>
        <v>749.83601085414921</v>
      </c>
      <c r="C219" s="30">
        <f t="shared" si="4"/>
        <v>6554.5714572925426</v>
      </c>
      <c r="D219" s="42"/>
      <c r="E219" s="10"/>
      <c r="F219" s="10"/>
      <c r="G219" s="43"/>
      <c r="H219" s="9"/>
    </row>
    <row r="220" spans="1:8" x14ac:dyDescent="0.25">
      <c r="A220" s="29">
        <v>18</v>
      </c>
      <c r="B220" s="30">
        <f>ιγ_Αποτελέσματα_Σεναρίων!$T$7/(1+ι_Μοντέλο_Ελέγχου_α!$B$10)^A220</f>
        <v>735.13334397465621</v>
      </c>
      <c r="C220" s="30">
        <f t="shared" si="4"/>
        <v>7289.7048012671985</v>
      </c>
      <c r="D220" s="42"/>
      <c r="E220" s="10"/>
      <c r="F220" s="10"/>
      <c r="G220" s="43"/>
      <c r="H220" s="9"/>
    </row>
    <row r="221" spans="1:8" x14ac:dyDescent="0.25">
      <c r="A221" s="29">
        <v>19</v>
      </c>
      <c r="B221" s="30">
        <f>ιγ_Αποτελέσματα_Σεναρίων!$T$7/(1+ι_Μοντέλο_Ελέγχου_α!$B$10)^A221</f>
        <v>720.71896468103546</v>
      </c>
      <c r="C221" s="30">
        <f t="shared" si="4"/>
        <v>8010.4237659482342</v>
      </c>
      <c r="D221" s="42"/>
      <c r="E221" s="10"/>
      <c r="F221" s="10"/>
      <c r="G221" s="43"/>
      <c r="H221" s="9"/>
    </row>
    <row r="222" spans="1:8" x14ac:dyDescent="0.25">
      <c r="A222" s="29">
        <v>20</v>
      </c>
      <c r="B222" s="30">
        <f>ιγ_Αποτελέσματα_Σεναρίων!$T$7/(1+ι_Μοντέλο_Ελέγχου_α!$B$10)^A222</f>
        <v>706.58722027552494</v>
      </c>
      <c r="C222" s="30">
        <f t="shared" si="4"/>
        <v>8717.0109862237587</v>
      </c>
      <c r="D222" s="42"/>
      <c r="E222" s="10"/>
      <c r="F222" s="10"/>
      <c r="G222" s="43"/>
      <c r="H222" s="9"/>
    </row>
    <row r="223" spans="1:8" x14ac:dyDescent="0.25">
      <c r="A223" s="29">
        <v>21</v>
      </c>
      <c r="B223" s="30">
        <f>ιγ_Αποτελέσματα_Σεναρίων!$T$7/(1+ι_Μοντέλο_Ελέγχου_α!$B$10)^A223</f>
        <v>692.73256889757351</v>
      </c>
      <c r="C223" s="30">
        <f t="shared" si="4"/>
        <v>9409.743555121333</v>
      </c>
      <c r="D223" s="42"/>
      <c r="E223" s="10"/>
      <c r="F223" s="10"/>
      <c r="G223" s="43"/>
      <c r="H223" s="9"/>
    </row>
    <row r="224" spans="1:8" x14ac:dyDescent="0.25">
      <c r="A224" s="29">
        <v>22</v>
      </c>
      <c r="B224" s="30">
        <f>ιγ_Αποτελέσματα_Σεναρίων!$T$7/(1+ι_Μοντέλο_Ελέγχου_α!$B$10)^A224</f>
        <v>679.14957735056225</v>
      </c>
      <c r="C224" s="30">
        <f t="shared" si="4"/>
        <v>10088.893132471896</v>
      </c>
      <c r="D224" s="42"/>
      <c r="E224" s="10"/>
      <c r="F224" s="10"/>
      <c r="G224" s="43"/>
      <c r="H224" s="9"/>
    </row>
    <row r="225" spans="1:8" x14ac:dyDescent="0.25">
      <c r="A225" s="29">
        <v>23</v>
      </c>
      <c r="B225" s="30">
        <f>ιγ_Αποτελέσματα_Σεναρίων!$T$7/(1+ι_Μοντέλο_Ελέγχου_α!$B$10)^A225</f>
        <v>665.83291897113952</v>
      </c>
      <c r="C225" s="30">
        <f t="shared" si="4"/>
        <v>10754.726051443036</v>
      </c>
      <c r="D225" s="42"/>
      <c r="E225" s="10"/>
      <c r="F225" s="10"/>
      <c r="G225" s="43"/>
      <c r="H225" s="9"/>
    </row>
    <row r="226" spans="1:8" x14ac:dyDescent="0.25">
      <c r="A226" s="29">
        <v>24</v>
      </c>
      <c r="B226" s="30">
        <f>ιγ_Αποτελέσματα_Σεναρίων!$T$7/(1+ι_Μοντέλο_Ελέγχου_α!$B$10)^A226</f>
        <v>652.77737154033287</v>
      </c>
      <c r="C226" s="30">
        <f t="shared" si="4"/>
        <v>11407.503422983369</v>
      </c>
      <c r="D226" s="42"/>
      <c r="E226" s="10"/>
      <c r="F226" s="10"/>
      <c r="G226" s="43"/>
      <c r="H226" s="9"/>
    </row>
    <row r="227" spans="1:8" x14ac:dyDescent="0.25">
      <c r="A227" s="29">
        <v>25</v>
      </c>
      <c r="B227" s="30">
        <f>ιγ_Αποτελέσματα_Σεναρίων!$T$7/(1+ι_Μοντέλο_Ελέγχου_α!$B$10)^A227</f>
        <v>639.97781523562048</v>
      </c>
      <c r="C227" s="30">
        <f t="shared" si="4"/>
        <v>12047.48123821899</v>
      </c>
      <c r="D227" s="42"/>
      <c r="E227" s="10"/>
      <c r="F227" s="10"/>
      <c r="G227" s="43"/>
      <c r="H227" s="9"/>
    </row>
    <row r="228" spans="1:8" x14ac:dyDescent="0.25">
      <c r="A228" s="9"/>
      <c r="B228" s="9"/>
      <c r="C228" s="9"/>
      <c r="D228" s="9"/>
      <c r="E228" s="9"/>
      <c r="F228" s="9"/>
      <c r="G228" s="9"/>
      <c r="H228" s="9"/>
    </row>
    <row r="229" spans="1:8" x14ac:dyDescent="0.25">
      <c r="A229" s="9"/>
      <c r="B229" s="9"/>
      <c r="C229" s="9"/>
      <c r="D229" s="9"/>
      <c r="E229" s="9"/>
      <c r="F229" s="9"/>
      <c r="G229" s="9"/>
      <c r="H229" s="9"/>
    </row>
    <row r="230" spans="1:8" x14ac:dyDescent="0.25">
      <c r="A230" s="284" t="s">
        <v>205</v>
      </c>
      <c r="B230" s="282"/>
      <c r="C230" s="282"/>
      <c r="D230" s="282"/>
      <c r="E230" s="282"/>
      <c r="F230" s="282"/>
      <c r="G230" s="282"/>
      <c r="H230" s="283"/>
    </row>
    <row r="231" spans="1:8" ht="26.25" customHeight="1" x14ac:dyDescent="0.25">
      <c r="A231" s="31" t="s">
        <v>0</v>
      </c>
      <c r="B231" s="31" t="s">
        <v>1</v>
      </c>
      <c r="C231" s="31" t="s">
        <v>2</v>
      </c>
      <c r="D231" s="31" t="s">
        <v>3</v>
      </c>
      <c r="E231" s="31" t="s">
        <v>195</v>
      </c>
      <c r="F231" s="31" t="s">
        <v>13</v>
      </c>
      <c r="G231" s="31" t="s">
        <v>23</v>
      </c>
      <c r="H231" s="31"/>
    </row>
    <row r="232" spans="1:8" x14ac:dyDescent="0.25">
      <c r="A232" s="32" t="str">
        <f>ι_Μοντέλο_Ελέγχου_α!$A$44</f>
        <v>Χωρίς μπαταρία</v>
      </c>
      <c r="B232" s="33">
        <f>ι_Μοντέλο_Ελέγχου_α!$B$44</f>
        <v>0</v>
      </c>
      <c r="C232" s="33">
        <f>ι_Μοντέλο_Ελέγχου_α!$C$44</f>
        <v>0</v>
      </c>
      <c r="D232" s="34">
        <f>ι_Μοντέλο_Ελέγχου_α!$D$44</f>
        <v>0</v>
      </c>
      <c r="E232" s="35">
        <f>IF(COUNTIF($G$236:$G$246,1)=0,INDEX($A$236:$A$246,MIN(ROWS($A$236:$A$246),MATCH(ι_Μοντέλο_Ελέγχου_α!$B$15,$B$236:$B$246,1)+1)),INDEX($A$236:$A$246,_xlfn.AGGREGATE(15,6,(ROW($F$236:$F$246)-ROW($F$236)+1)/(($G$236:$G$246=1)*($F$236:$F$246=_xlfn.AGGREGATE(15,6,$F$236:$F$246/($G$236:$G$246=1),1))),1)))</f>
        <v>5.94</v>
      </c>
      <c r="F232" s="35">
        <f>INDEX($C$236:$C$246,MATCH(E232,$A$236:$A$246,0))</f>
        <v>3260</v>
      </c>
      <c r="G232" s="35">
        <f>DPP_FromNPV($C$251:$C$276,$A$251:$A$276,$B$251:$B$276)</f>
        <v>5.2552735751662327</v>
      </c>
      <c r="H232" s="32"/>
    </row>
    <row r="233" spans="1:8" x14ac:dyDescent="0.25">
      <c r="A233" s="9"/>
      <c r="B233" s="9"/>
      <c r="C233" s="9"/>
      <c r="D233" s="42"/>
      <c r="E233" s="10"/>
      <c r="F233" s="10"/>
      <c r="G233" s="43"/>
      <c r="H233" s="9"/>
    </row>
    <row r="234" spans="1:8" x14ac:dyDescent="0.25">
      <c r="A234" s="281" t="s">
        <v>196</v>
      </c>
      <c r="B234" s="282"/>
      <c r="C234" s="282"/>
      <c r="D234" s="282"/>
      <c r="E234" s="282"/>
      <c r="F234" s="282"/>
      <c r="G234" s="283"/>
      <c r="H234" s="9"/>
    </row>
    <row r="235" spans="1:8" ht="26.25" customHeight="1" x14ac:dyDescent="0.25">
      <c r="A235" s="31" t="s">
        <v>28</v>
      </c>
      <c r="B235" s="31" t="s">
        <v>197</v>
      </c>
      <c r="C235" s="31" t="s">
        <v>13</v>
      </c>
      <c r="D235" s="36" t="s">
        <v>49</v>
      </c>
      <c r="E235" s="37" t="s">
        <v>19</v>
      </c>
      <c r="F235" s="37" t="s">
        <v>23</v>
      </c>
      <c r="G235" s="38" t="s">
        <v>198</v>
      </c>
      <c r="H235" s="9"/>
    </row>
    <row r="236" spans="1:8" x14ac:dyDescent="0.25">
      <c r="A236" s="29">
        <f>ι_Μοντέλο_Ελέγχου_α!$B$5*(ROW()-236)/10</f>
        <v>0</v>
      </c>
      <c r="B236" s="29">
        <f>AnnualSelfConsumptionWithBattery(A236,ι_Μοντέλο_Ελέγχου_α!$B$22:$B$33,ι_Μοντέλο_Ελέγχου_α!$C$22:$C$33,ι_Μοντέλο_Ελέγχου_α!$D$22:$D$33,ι_Μοντέλο_Ελέγχου_α!$C$44)</f>
        <v>0</v>
      </c>
      <c r="C236" s="29">
        <f>ι_Μοντέλο_Ελέγχου_α!$C$34-B236</f>
        <v>7500</v>
      </c>
      <c r="D236" s="30">
        <f>A236*ι_Μοντέλο_Ελέγχου_α!$B$7+ι_Μοντέλο_Ελέγχου_α!$D$44</f>
        <v>0</v>
      </c>
      <c r="E236" s="39">
        <f>B236*ι_Μοντέλο_Ελέγχου_α!$B$8+MAX(A236*ι_Μοντέλο_Ελέγχου_α!$B$14-B236,0)*ι_Μοντέλο_Ελέγχου_α!$B$9</f>
        <v>0</v>
      </c>
      <c r="F236" s="39"/>
      <c r="G236" s="40">
        <f>IF(AND(C236&lt;=ι_Μοντέλο_Ελέγχου_α!$B$16,ISNUMBER(F236),F236&lt;=$B$4),1,0)</f>
        <v>0</v>
      </c>
      <c r="H236" s="9"/>
    </row>
    <row r="237" spans="1:8" x14ac:dyDescent="0.25">
      <c r="A237" s="29">
        <f>ι_Μοντέλο_Ελέγχου_α!$B$5*(ROW()-236)/10</f>
        <v>0.99</v>
      </c>
      <c r="B237" s="29">
        <f>AnnualSelfConsumptionWithBattery(A237,ι_Μοντέλο_Ελέγχου_α!$B$22:$B$33,ι_Μοντέλο_Ελέγχου_α!$C$22:$C$33,ι_Μοντέλο_Ελέγχου_α!$D$22:$D$33,ι_Μοντέλο_Ελέγχου_α!$C$44)</f>
        <v>1430.6490000000001</v>
      </c>
      <c r="C237" s="41">
        <f>ι_Μοντέλο_Ελέγχου_α!$C$34-B237</f>
        <v>6069.3509999999997</v>
      </c>
      <c r="D237" s="30">
        <f>A237*ι_Μοντέλο_Ελέγχου_α!$B$7+ι_Μοντέλο_Ελέγχου_α!$D$44</f>
        <v>912.8</v>
      </c>
      <c r="E237" s="39">
        <f>B237*ι_Μοντέλο_Ελέγχου_α!$B$8+MAX(A237*ι_Μοντέλο_Ελέγχου_α!$B$14-B237,0)*ι_Μοντέλο_Ελέγχου_α!$B$9</f>
        <v>286.12980000000005</v>
      </c>
      <c r="F237" s="39">
        <f>-LN(1-D237*ι_Μοντέλο_Ελέγχου_α!$B$10/E237)/LN(1+ι_Μοντέλο_Ελέγχου_α!$B$10)</f>
        <v>3.3293349891530801</v>
      </c>
      <c r="G237" s="40">
        <f>IF(AND(C237&lt;=ι_Μοντέλο_Ελέγχου_α!$B$16,ISNUMBER(F237),F237&lt;=$B$4),1,0)</f>
        <v>0</v>
      </c>
      <c r="H237" s="9"/>
    </row>
    <row r="238" spans="1:8" x14ac:dyDescent="0.25">
      <c r="A238" s="29">
        <f>ι_Μοντέλο_Ελέγχου_α!$B$5*(ROW()-236)/10</f>
        <v>1.98</v>
      </c>
      <c r="B238" s="29">
        <f>AnnualSelfConsumptionWithBattery(A238,ι_Μοντέλο_Ελέγχου_α!$B$22:$B$33,ι_Μοντέλο_Ελέγχου_α!$C$22:$C$33,ι_Μοντέλο_Ελέγχου_α!$D$22:$D$33,ι_Μοντέλο_Ελέγχου_α!$C$44)</f>
        <v>2826.8979999999997</v>
      </c>
      <c r="C238" s="29">
        <f>ι_Μοντέλο_Ελέγχου_α!$C$34-B238</f>
        <v>4673.1020000000008</v>
      </c>
      <c r="D238" s="30">
        <f>A238*ι_Μοντέλο_Ελέγχου_α!$B$7+ι_Μοντέλο_Ελέγχου_α!$D$44</f>
        <v>1825.6</v>
      </c>
      <c r="E238" s="39">
        <f>B238*ι_Μοντέλο_Ελέγχου_α!$B$8+MAX(A238*ι_Μοντέλο_Ελέγχου_α!$B$14-B238,0)*ι_Μοντέλο_Ελέγχου_α!$B$9</f>
        <v>567.44360000000006</v>
      </c>
      <c r="F238" s="39">
        <f>-LN(1-D238*ι_Μοντέλο_Ελέγχου_α!$B$10/E238)/LN(1+ι_Μοντέλο_Ελέγχου_α!$B$10)</f>
        <v>3.358552417142918</v>
      </c>
      <c r="G238" s="40">
        <f>IF(AND(C238&lt;=ι_Μοντέλο_Ελέγχου_α!$B$16,ISNUMBER(F238),F238&lt;=$B$4),1,0)</f>
        <v>0</v>
      </c>
      <c r="H238" s="9"/>
    </row>
    <row r="239" spans="1:8" x14ac:dyDescent="0.25">
      <c r="A239" s="29">
        <f>ι_Μοντέλο_Ελέγχου_α!$B$5*(ROW()-236)/10</f>
        <v>2.97</v>
      </c>
      <c r="B239" s="29">
        <f>AnnualSelfConsumptionWithBattery(A239,ι_Μοντέλο_Ελέγχου_α!$B$22:$B$33,ι_Μοντέλο_Ελέγχου_α!$C$22:$C$33,ι_Μοντέλο_Ελέγχου_α!$D$22:$D$33,ι_Μοντέλο_Ελέγχου_α!$C$44)</f>
        <v>3600.3340000000003</v>
      </c>
      <c r="C239" s="29">
        <f>ι_Μοντέλο_Ελέγχου_α!$C$34-B239</f>
        <v>3899.6659999999997</v>
      </c>
      <c r="D239" s="30">
        <f>A239*ι_Μοντέλο_Ελέγχου_α!$B$7+ι_Μοντέλο_Ελέγχου_α!$D$44</f>
        <v>2738.4</v>
      </c>
      <c r="E239" s="39">
        <f>B239*ι_Μοντέλο_Ελέγχου_α!$B$8+MAX(A239*ι_Μοντέλο_Ελέγχου_α!$B$14-B239,0)*ι_Μοντέλο_Ελέγχου_α!$B$9</f>
        <v>761.56358000000012</v>
      </c>
      <c r="F239" s="39">
        <f>-LN(1-D239*ι_Μοντέλο_Ελέγχου_α!$B$10/E239)/LN(1+ι_Μοντέλο_Ελέγχου_α!$B$10)</f>
        <v>3.7688016822420329</v>
      </c>
      <c r="G239" s="40">
        <f>IF(AND(C239&lt;=ι_Μοντέλο_Ελέγχου_α!$B$16,ISNUMBER(F239),F239&lt;=$B$4),1,0)</f>
        <v>0</v>
      </c>
      <c r="H239" s="9"/>
    </row>
    <row r="240" spans="1:8" x14ac:dyDescent="0.25">
      <c r="A240" s="29">
        <f>ι_Μοντέλο_Ελέγχου_α!$B$5*(ROW()-236)/10</f>
        <v>3.96</v>
      </c>
      <c r="B240" s="29">
        <f>AnnualSelfConsumptionWithBattery(A240,ι_Μοντέλο_Ελέγχου_α!$B$22:$B$33,ι_Μοντέλο_Ελέγχου_α!$C$22:$C$33,ι_Μοντέλο_Ελέγχου_α!$D$22:$D$33,ι_Μοντέλο_Ελέγχου_α!$C$44)</f>
        <v>4046.5919999999996</v>
      </c>
      <c r="C240" s="29">
        <f>ι_Μοντέλο_Ελέγχου_α!$C$34-B240</f>
        <v>3453.4080000000004</v>
      </c>
      <c r="D240" s="30">
        <f>A240*ι_Μοντέλο_Ελέγχου_α!$B$7+ι_Μοντέλο_Ελέγχου_α!$D$44</f>
        <v>3651.2</v>
      </c>
      <c r="E240" s="39">
        <f>B240*ι_Μοντέλο_Ελέγχου_α!$B$8+MAX(A240*ι_Μοντέλο_Ελέγχου_α!$B$14-B240,0)*ι_Μοντέλο_Ελέγχου_α!$B$9</f>
        <v>909.87864000000002</v>
      </c>
      <c r="F240" s="39">
        <f>-LN(1-D240*ι_Μοντέλο_Ελέγχου_α!$B$10/E240)/LN(1+ι_Μοντέλο_Ελέγχου_α!$B$10)</f>
        <v>4.2247343841101941</v>
      </c>
      <c r="G240" s="40">
        <f>IF(AND(C240&lt;=ι_Μοντέλο_Ελέγχου_α!$B$16,ISNUMBER(F240),F240&lt;=$B$4),1,0)</f>
        <v>0</v>
      </c>
      <c r="H240" s="9"/>
    </row>
    <row r="241" spans="1:8" x14ac:dyDescent="0.25">
      <c r="A241" s="29">
        <f>ι_Μοντέλο_Ελέγχου_α!$B$5*(ROW()-236)/10</f>
        <v>4.95</v>
      </c>
      <c r="B241" s="29">
        <f>AnnualSelfConsumptionWithBattery(A241,ι_Μοντέλο_Ελέγχου_α!$B$22:$B$33,ι_Μοντέλο_Ελέγχου_α!$C$22:$C$33,ι_Μοντέλο_Ελέγχου_α!$D$22:$D$33,ι_Μοντέλο_Ελέγχου_α!$C$44)</f>
        <v>4223.13</v>
      </c>
      <c r="C241" s="29">
        <f>ι_Μοντέλο_Ελέγχου_α!$C$34-B241</f>
        <v>3276.87</v>
      </c>
      <c r="D241" s="30">
        <f>A241*ι_Μοντέλο_Ελέγχου_α!$B$7+ι_Μοντέλο_Ελέγχου_α!$D$44</f>
        <v>4564</v>
      </c>
      <c r="E241" s="39">
        <f>B241*ι_Μοντέλο_Ελέγχου_α!$B$8+MAX(A241*ι_Μοντέλο_Ελέγχου_α!$B$14-B241,0)*ι_Μοντέλο_Ελέγχου_α!$B$9</f>
        <v>1020.4329000000001</v>
      </c>
      <c r="F241" s="39">
        <f>-LN(1-D241*ι_Μοντέλο_Ελέγχου_α!$B$10/E241)/LN(1+ι_Μοντέλο_Ελέγχου_α!$B$10)</f>
        <v>4.7321456773008785</v>
      </c>
      <c r="G241" s="40">
        <f>IF(AND(C241&lt;=ι_Μοντέλο_Ελέγχου_α!$B$16,ISNUMBER(F241),F241&lt;=$B$4),1,0)</f>
        <v>0</v>
      </c>
      <c r="H241" s="9"/>
    </row>
    <row r="242" spans="1:8" x14ac:dyDescent="0.25">
      <c r="A242" s="29">
        <f>ι_Μοντέλο_Ελέγχου_α!$B$5*(ROW()-236)/10</f>
        <v>5.94</v>
      </c>
      <c r="B242" s="29">
        <f>AnnualSelfConsumptionWithBattery(A242,ι_Μοντέλο_Ελέγχου_α!$B$22:$B$33,ι_Μοντέλο_Ελέγχου_α!$C$22:$C$33,ι_Μοντέλο_Ελέγχου_α!$D$22:$D$33,ι_Μοντέλο_Ελέγχου_α!$C$44)</f>
        <v>4240</v>
      </c>
      <c r="C242" s="29">
        <f>ι_Μοντέλο_Ελέγχου_α!$C$34-B242</f>
        <v>3260</v>
      </c>
      <c r="D242" s="30">
        <f>A242*ι_Μοντέλο_Ελέγχου_α!$B$7+ι_Μοντέλο_Ελέγχου_α!$D$44</f>
        <v>5476.8</v>
      </c>
      <c r="E242" s="39">
        <f>B242*ι_Μοντέλο_Ελέγχου_α!$B$8+MAX(A242*ι_Μοντέλο_Ελέγχου_α!$B$14-B242,0)*ι_Μοντέλο_Ελέγχου_α!$B$9</f>
        <v>1108.63364</v>
      </c>
      <c r="F242" s="39">
        <f>-LN(1-D242*ι_Μοντέλο_Ελέγχου_α!$B$10/E242)/LN(1+ι_Μοντέλο_Ελέγχου_α!$B$10)</f>
        <v>5.2533973365172866</v>
      </c>
      <c r="G242" s="40">
        <f>IF(AND(C242&lt;=ι_Μοντέλο_Ελέγχου_α!$B$16,ISNUMBER(F242),F242&lt;=$B$4),1,0)</f>
        <v>1</v>
      </c>
      <c r="H242" s="9"/>
    </row>
    <row r="243" spans="1:8" x14ac:dyDescent="0.25">
      <c r="A243" s="29">
        <f>ι_Μοντέλο_Ελέγχου_α!$B$5*(ROW()-236)/10</f>
        <v>6.93</v>
      </c>
      <c r="B243" s="29">
        <f>AnnualSelfConsumptionWithBattery(A243,ι_Μοντέλο_Ελέγχου_α!$B$22:$B$33,ι_Μοντέλο_Ελέγχου_α!$C$22:$C$33,ι_Μοντέλο_Ελέγχου_α!$D$22:$D$33,ι_Μοντέλο_Ελέγχου_α!$C$44)</f>
        <v>4240</v>
      </c>
      <c r="C243" s="29">
        <f>ι_Μοντέλο_Ελέγχου_α!$C$34-B243</f>
        <v>3260</v>
      </c>
      <c r="D243" s="30">
        <f>A243*ι_Μοντέλο_Ελέγχου_α!$B$7+ι_Μοντέλο_Ελέγχου_α!$D$44</f>
        <v>6389.5999999999995</v>
      </c>
      <c r="E243" s="39">
        <f>B243*ι_Μοντέλο_Ελέγχου_α!$B$8+MAX(A243*ι_Μοντέλο_Ελέγχου_α!$B$14-B243,0)*ι_Μοντέλο_Ελέγχου_α!$B$9</f>
        <v>1194.4725800000001</v>
      </c>
      <c r="F243" s="39">
        <f>-LN(1-D243*ι_Μοντέλο_Ελέγχου_α!$B$10/E243)/LN(1+ι_Μοντέλο_Ελέγχου_α!$B$10)</f>
        <v>5.714048232791499</v>
      </c>
      <c r="G243" s="40">
        <f>IF(AND(C243&lt;=ι_Μοντέλο_Ελέγχου_α!$B$16,ISNUMBER(F243),F243&lt;=$B$4),1,0)</f>
        <v>1</v>
      </c>
      <c r="H243" s="9"/>
    </row>
    <row r="244" spans="1:8" x14ac:dyDescent="0.25">
      <c r="A244" s="29">
        <f>ι_Μοντέλο_Ελέγχου_α!$B$5*(ROW()-236)/10</f>
        <v>7.92</v>
      </c>
      <c r="B244" s="29">
        <f>AnnualSelfConsumptionWithBattery(A244,ι_Μοντέλο_Ελέγχου_α!$B$22:$B$33,ι_Μοντέλο_Ελέγχου_α!$C$22:$C$33,ι_Μοντέλο_Ελέγχου_α!$D$22:$D$33,ι_Μοντέλο_Ελέγχου_α!$C$44)</f>
        <v>4240</v>
      </c>
      <c r="C244" s="29">
        <f>ι_Μοντέλο_Ελέγχου_α!$C$34-B244</f>
        <v>3260</v>
      </c>
      <c r="D244" s="30">
        <f>A244*ι_Μοντέλο_Ελέγχου_α!$B$7+ι_Μοντέλο_Ελέγχου_α!$D$44</f>
        <v>7302.4</v>
      </c>
      <c r="E244" s="39">
        <f>B244*ι_Μοντέλο_Ελέγχου_α!$B$8+MAX(A244*ι_Μοντέλο_Ελέγχου_α!$B$14-B244,0)*ι_Μοντέλο_Ελέγχου_α!$B$9</f>
        <v>1280.31152</v>
      </c>
      <c r="F244" s="39">
        <f>-LN(1-D244*ι_Μοντέλο_Ελέγχου_α!$B$10/E244)/LN(1+ι_Μοντέλο_Ελέγχου_α!$B$10)</f>
        <v>6.1163532619901879</v>
      </c>
      <c r="G244" s="40">
        <f>IF(AND(C244&lt;=ι_Μοντέλο_Ελέγχου_α!$B$16,ISNUMBER(F244),F244&lt;=$B$4),1,0)</f>
        <v>1</v>
      </c>
      <c r="H244" s="9"/>
    </row>
    <row r="245" spans="1:8" x14ac:dyDescent="0.25">
      <c r="A245" s="29">
        <f>ι_Μοντέλο_Ελέγχου_α!$B$5*(ROW()-236)/10</f>
        <v>8.91</v>
      </c>
      <c r="B245" s="29">
        <f>AnnualSelfConsumptionWithBattery(A245,ι_Μοντέλο_Ελέγχου_α!$B$22:$B$33,ι_Μοντέλο_Ελέγχου_α!$C$22:$C$33,ι_Μοντέλο_Ελέγχου_α!$D$22:$D$33,ι_Μοντέλο_Ελέγχου_α!$C$44)</f>
        <v>4240</v>
      </c>
      <c r="C245" s="29">
        <f>ι_Μοντέλο_Ελέγχου_α!$C$34-B245</f>
        <v>3260</v>
      </c>
      <c r="D245" s="30">
        <f>A245*ι_Μοντέλο_Ελέγχου_α!$B$7+ι_Μοντέλο_Ελέγχου_α!$D$44</f>
        <v>8215.1999999999989</v>
      </c>
      <c r="E245" s="39">
        <f>B245*ι_Μοντέλο_Ελέγχου_α!$B$8+MAX(A245*ι_Μοντέλο_Ελέγχου_α!$B$14-B245,0)*ι_Μοντέλο_Ελέγχου_α!$B$9</f>
        <v>1366.1504600000001</v>
      </c>
      <c r="F245" s="39">
        <f>-LN(1-D245*ι_Μοντέλο_Ελέγχου_α!$B$10/E245)/LN(1+ι_Μοντέλο_Ελέγχου_α!$B$10)</f>
        <v>6.4707479835981223</v>
      </c>
      <c r="G245" s="40">
        <f>IF(AND(C245&lt;=ι_Μοντέλο_Ελέγχου_α!$B$16,ISNUMBER(F245),F245&lt;=$B$4),1,0)</f>
        <v>1</v>
      </c>
      <c r="H245" s="9"/>
    </row>
    <row r="246" spans="1:8" x14ac:dyDescent="0.25">
      <c r="A246" s="29">
        <f>ι_Μοντέλο_Ελέγχου_α!$B$5*(ROW()-236)/10</f>
        <v>9.9</v>
      </c>
      <c r="B246" s="29">
        <f>AnnualSelfConsumptionWithBattery(A246,ι_Μοντέλο_Ελέγχου_α!$B$22:$B$33,ι_Μοντέλο_Ελέγχου_α!$C$22:$C$33,ι_Μοντέλο_Ελέγχου_α!$D$22:$D$33,ι_Μοντέλο_Ελέγχου_α!$C$44)</f>
        <v>4240</v>
      </c>
      <c r="C246" s="29">
        <f>ι_Μοντέλο_Ελέγχου_α!$C$34-B246</f>
        <v>3260</v>
      </c>
      <c r="D246" s="30">
        <f>A246*ι_Μοντέλο_Ελέγχου_α!$B$7+ι_Μοντέλο_Ελέγχου_α!$D$44</f>
        <v>9128</v>
      </c>
      <c r="E246" s="39">
        <f>B246*ι_Μοντέλο_Ελέγχου_α!$B$8+MAX(A246*ι_Μοντέλο_Ελέγχου_α!$B$14-B246,0)*ι_Μοντέλο_Ελέγχου_α!$B$9</f>
        <v>1451.9893999999999</v>
      </c>
      <c r="F246" s="39">
        <f>-LN(1-D246*ι_Μοντέλο_Ελέγχου_α!$B$10/E246)/LN(1+ι_Μοντέλο_Ελέγχου_α!$B$10)</f>
        <v>6.7853172167753195</v>
      </c>
      <c r="G246" s="40">
        <f>IF(AND(C246&lt;=ι_Μοντέλο_Ελέγχου_α!$B$16,ISNUMBER(F246),F246&lt;=$B$4),1,0)</f>
        <v>1</v>
      </c>
      <c r="H246" s="9"/>
    </row>
    <row r="247" spans="1:8" x14ac:dyDescent="0.25">
      <c r="A247" s="9"/>
      <c r="B247" s="9"/>
      <c r="C247" s="9"/>
      <c r="D247" s="42"/>
      <c r="E247" s="10"/>
      <c r="F247" s="10"/>
      <c r="G247" s="43"/>
      <c r="H247" s="9"/>
    </row>
    <row r="248" spans="1:8" x14ac:dyDescent="0.25">
      <c r="A248" s="9"/>
      <c r="B248" s="9"/>
      <c r="C248" s="9"/>
      <c r="D248" s="42"/>
      <c r="E248" s="10"/>
      <c r="F248" s="10"/>
      <c r="G248" s="43"/>
      <c r="H248" s="9"/>
    </row>
    <row r="249" spans="1:8" x14ac:dyDescent="0.25">
      <c r="A249" s="281" t="s">
        <v>199</v>
      </c>
      <c r="B249" s="282"/>
      <c r="C249" s="283"/>
      <c r="D249" s="42"/>
      <c r="E249" s="10"/>
      <c r="F249" s="10"/>
      <c r="G249" s="43"/>
      <c r="H249" s="9"/>
    </row>
    <row r="250" spans="1:8" x14ac:dyDescent="0.25">
      <c r="A250" s="31" t="s">
        <v>29</v>
      </c>
      <c r="B250" s="31" t="s">
        <v>200</v>
      </c>
      <c r="C250" s="31" t="s">
        <v>201</v>
      </c>
      <c r="D250" s="42"/>
      <c r="E250" s="10"/>
      <c r="F250" s="10"/>
      <c r="G250" s="43"/>
      <c r="H250" s="9"/>
    </row>
    <row r="251" spans="1:8" x14ac:dyDescent="0.25">
      <c r="A251" s="29">
        <v>0</v>
      </c>
      <c r="B251" s="30">
        <v>0</v>
      </c>
      <c r="C251" s="30">
        <f>-ιγ_Αποτελέσματα_Σεναρίων!$H$8</f>
        <v>-5476.8</v>
      </c>
      <c r="D251" s="42"/>
      <c r="E251" s="10"/>
      <c r="F251" s="10"/>
      <c r="G251" s="43"/>
      <c r="H251" s="9"/>
    </row>
    <row r="252" spans="1:8" x14ac:dyDescent="0.25">
      <c r="A252" s="29">
        <v>1</v>
      </c>
      <c r="B252" s="30">
        <f>ιγ_Αποτελέσματα_Σεναρίων!$T$8/(1+ι_Μοντέλο_Ελέγχου_α!$B$10)^A252</f>
        <v>1086.8957254901961</v>
      </c>
      <c r="C252" s="30">
        <f t="shared" ref="C252:C276" si="5">C251+B252</f>
        <v>-4389.9042745098041</v>
      </c>
      <c r="D252" s="42"/>
      <c r="E252" s="10"/>
      <c r="F252" s="10"/>
      <c r="G252" s="43"/>
      <c r="H252" s="9"/>
    </row>
    <row r="253" spans="1:8" x14ac:dyDescent="0.25">
      <c r="A253" s="29">
        <v>2</v>
      </c>
      <c r="B253" s="30">
        <f>ιγ_Αποτελέσματα_Σεναρίων!$T$8/(1+ι_Μοντέλο_Ελέγχου_α!$B$10)^A253</f>
        <v>1065.5840445982315</v>
      </c>
      <c r="C253" s="30">
        <f t="shared" si="5"/>
        <v>-3324.3202299115728</v>
      </c>
      <c r="D253" s="42"/>
      <c r="E253" s="10"/>
      <c r="F253" s="10"/>
      <c r="G253" s="43"/>
      <c r="H253" s="9"/>
    </row>
    <row r="254" spans="1:8" x14ac:dyDescent="0.25">
      <c r="A254" s="29">
        <v>3</v>
      </c>
      <c r="B254" s="30">
        <f>ιγ_Αποτελέσματα_Σεναρίων!$T$8/(1+ι_Μοντέλο_Ελέγχου_α!$B$10)^A254</f>
        <v>1044.6902398021878</v>
      </c>
      <c r="C254" s="30">
        <f t="shared" si="5"/>
        <v>-2279.6299901093853</v>
      </c>
      <c r="D254" s="42"/>
      <c r="E254" s="10"/>
      <c r="F254" s="10"/>
      <c r="G254" s="43"/>
      <c r="H254" s="9"/>
    </row>
    <row r="255" spans="1:8" x14ac:dyDescent="0.25">
      <c r="A255" s="29">
        <v>4</v>
      </c>
      <c r="B255" s="30">
        <f>ιγ_Αποτελέσματα_Σεναρίων!$T$8/(1+ι_Μοντέλο_Ελέγχου_α!$B$10)^A255</f>
        <v>1024.2061174531252</v>
      </c>
      <c r="C255" s="30">
        <f t="shared" si="5"/>
        <v>-1255.4238726562601</v>
      </c>
      <c r="D255" s="42"/>
      <c r="E255" s="10"/>
      <c r="F255" s="10"/>
      <c r="G255" s="43"/>
      <c r="H255" s="9"/>
    </row>
    <row r="256" spans="1:8" x14ac:dyDescent="0.25">
      <c r="A256" s="29">
        <v>5</v>
      </c>
      <c r="B256" s="30">
        <f>ιγ_Αποτελέσματα_Σεναρίων!$T$8/(1+ι_Μοντέλο_Ελέγχου_α!$B$10)^A256</f>
        <v>1004.1236445618874</v>
      </c>
      <c r="C256" s="30">
        <f t="shared" si="5"/>
        <v>-251.30022809437264</v>
      </c>
      <c r="D256" s="42"/>
      <c r="E256" s="10"/>
      <c r="F256" s="10"/>
      <c r="G256" s="43"/>
      <c r="H256" s="9"/>
    </row>
    <row r="257" spans="1:8" x14ac:dyDescent="0.25">
      <c r="A257" s="29">
        <v>6</v>
      </c>
      <c r="B257" s="30">
        <f>ιγ_Αποτελέσματα_Σεναρίων!$T$8/(1+ι_Μοντέλο_Ελέγχου_α!$B$10)^A257</f>
        <v>984.43494564890921</v>
      </c>
      <c r="C257" s="30">
        <f t="shared" si="5"/>
        <v>733.13471755453656</v>
      </c>
      <c r="D257" s="42"/>
      <c r="E257" s="10"/>
      <c r="F257" s="10"/>
      <c r="G257" s="43"/>
      <c r="H257" s="9"/>
    </row>
    <row r="258" spans="1:8" x14ac:dyDescent="0.25">
      <c r="A258" s="29">
        <v>7</v>
      </c>
      <c r="B258" s="30">
        <f>ιγ_Αποτελέσματα_Σεναρίων!$T$8/(1+ι_Μοντέλο_Ελέγχου_α!$B$10)^A258</f>
        <v>965.13229965579353</v>
      </c>
      <c r="C258" s="30">
        <f t="shared" si="5"/>
        <v>1698.2670172103301</v>
      </c>
      <c r="D258" s="42"/>
      <c r="E258" s="10"/>
      <c r="F258" s="10"/>
      <c r="G258" s="43"/>
      <c r="H258" s="9"/>
    </row>
    <row r="259" spans="1:8" x14ac:dyDescent="0.25">
      <c r="A259" s="29">
        <v>8</v>
      </c>
      <c r="B259" s="30">
        <f>ιγ_Αποτελέσματα_Σεναρίων!$T$8/(1+ι_Μοντέλο_Ελέγχου_α!$B$10)^A259</f>
        <v>946.20813691744456</v>
      </c>
      <c r="C259" s="30">
        <f t="shared" si="5"/>
        <v>2644.4751541277747</v>
      </c>
      <c r="D259" s="42"/>
      <c r="E259" s="10"/>
      <c r="F259" s="10"/>
      <c r="G259" s="43"/>
      <c r="H259" s="9"/>
    </row>
    <row r="260" spans="1:8" x14ac:dyDescent="0.25">
      <c r="A260" s="29">
        <v>9</v>
      </c>
      <c r="B260" s="30">
        <f>ιγ_Αποτελέσματα_Σεναρίων!$T$8/(1+ι_Μοντέλο_Ελέγχου_α!$B$10)^A260</f>
        <v>927.6550361935731</v>
      </c>
      <c r="C260" s="30">
        <f t="shared" si="5"/>
        <v>3572.130190321348</v>
      </c>
      <c r="D260" s="42"/>
      <c r="E260" s="10"/>
      <c r="F260" s="10"/>
      <c r="G260" s="43"/>
      <c r="H260" s="9"/>
    </row>
    <row r="261" spans="1:8" x14ac:dyDescent="0.25">
      <c r="A261" s="29">
        <v>10</v>
      </c>
      <c r="B261" s="30">
        <f>ιγ_Αποτελέσματα_Σεναρίων!$T$8/(1+ι_Μοντέλο_Ελέγχου_α!$B$10)^A261</f>
        <v>909.46572175840492</v>
      </c>
      <c r="C261" s="30">
        <f t="shared" si="5"/>
        <v>4481.5959120797525</v>
      </c>
      <c r="D261" s="42"/>
      <c r="E261" s="10"/>
      <c r="F261" s="10"/>
      <c r="G261" s="43"/>
      <c r="H261" s="9"/>
    </row>
    <row r="262" spans="1:8" x14ac:dyDescent="0.25">
      <c r="A262" s="29">
        <v>11</v>
      </c>
      <c r="B262" s="30">
        <f>ιγ_Αποτελέσματα_Σεναρίων!$T$8/(1+ι_Μοντέλο_Ελέγχου_α!$B$10)^A262</f>
        <v>891.63306054745601</v>
      </c>
      <c r="C262" s="30">
        <f t="shared" si="5"/>
        <v>5373.2289726272083</v>
      </c>
      <c r="D262" s="42"/>
      <c r="E262" s="10"/>
      <c r="F262" s="10"/>
      <c r="G262" s="43"/>
      <c r="H262" s="9"/>
    </row>
    <row r="263" spans="1:8" x14ac:dyDescent="0.25">
      <c r="A263" s="29">
        <v>12</v>
      </c>
      <c r="B263" s="30">
        <f>ιγ_Αποτελέσματα_Σεναρίων!$T$8/(1+ι_Μοντέλο_Ελέγχου_α!$B$10)^A263</f>
        <v>874.15005936025091</v>
      </c>
      <c r="C263" s="30">
        <f t="shared" si="5"/>
        <v>6247.3790319874588</v>
      </c>
      <c r="D263" s="42"/>
      <c r="E263" s="10"/>
      <c r="F263" s="10"/>
      <c r="G263" s="43"/>
      <c r="H263" s="9"/>
    </row>
    <row r="264" spans="1:8" x14ac:dyDescent="0.25">
      <c r="A264" s="29">
        <v>13</v>
      </c>
      <c r="B264" s="30">
        <f>ιγ_Αποτελέσματα_Σεναρίων!$T$8/(1+ι_Μοντέλο_Ελέγχου_α!$B$10)^A264</f>
        <v>857.00986211789302</v>
      </c>
      <c r="C264" s="30">
        <f t="shared" si="5"/>
        <v>7104.3888941053519</v>
      </c>
      <c r="D264" s="42"/>
      <c r="E264" s="10"/>
      <c r="F264" s="10"/>
      <c r="G264" s="43"/>
      <c r="H264" s="9"/>
    </row>
    <row r="265" spans="1:8" x14ac:dyDescent="0.25">
      <c r="A265" s="29">
        <v>14</v>
      </c>
      <c r="B265" s="30">
        <f>ιγ_Αποτελέσματα_Σεναρίων!$T$8/(1+ι_Μοντέλο_Ελέγχου_α!$B$10)^A265</f>
        <v>840.20574717440491</v>
      </c>
      <c r="C265" s="30">
        <f t="shared" si="5"/>
        <v>7944.5946412797566</v>
      </c>
      <c r="D265" s="42"/>
      <c r="E265" s="10"/>
      <c r="F265" s="10"/>
      <c r="G265" s="43"/>
      <c r="H265" s="9"/>
    </row>
    <row r="266" spans="1:8" x14ac:dyDescent="0.25">
      <c r="A266" s="29">
        <v>15</v>
      </c>
      <c r="B266" s="30">
        <f>ιγ_Αποτελέσματα_Σεναρίων!$T$8/(1+ι_Μοντέλο_Ελέγχου_α!$B$10)^A266</f>
        <v>823.73112468078932</v>
      </c>
      <c r="C266" s="30">
        <f t="shared" si="5"/>
        <v>8768.3257659605461</v>
      </c>
      <c r="D266" s="42"/>
      <c r="E266" s="10"/>
      <c r="F266" s="10"/>
      <c r="G266" s="43"/>
      <c r="H266" s="9"/>
    </row>
    <row r="267" spans="1:8" x14ac:dyDescent="0.25">
      <c r="A267" s="29">
        <v>16</v>
      </c>
      <c r="B267" s="30">
        <f>ιγ_Αποτελέσματα_Σεναρίων!$T$8/(1+ι_Μοντέλο_Ελέγχου_α!$B$10)^A267</f>
        <v>807.57953400077372</v>
      </c>
      <c r="C267" s="30">
        <f t="shared" si="5"/>
        <v>9575.9052999613195</v>
      </c>
      <c r="D267" s="42"/>
      <c r="E267" s="10"/>
      <c r="F267" s="10"/>
      <c r="G267" s="43"/>
      <c r="H267" s="9"/>
    </row>
    <row r="268" spans="1:8" x14ac:dyDescent="0.25">
      <c r="A268" s="29">
        <v>17</v>
      </c>
      <c r="B268" s="30">
        <f>ιγ_Αποτελέσματα_Σεναρίων!$T$8/(1+ι_Μοντέλο_Ελέγχου_α!$B$10)^A268</f>
        <v>791.74464117722903</v>
      </c>
      <c r="C268" s="30">
        <f t="shared" si="5"/>
        <v>10367.649941138548</v>
      </c>
      <c r="D268" s="42"/>
      <c r="E268" s="10"/>
      <c r="F268" s="10"/>
      <c r="G268" s="43"/>
      <c r="H268" s="9"/>
    </row>
    <row r="269" spans="1:8" x14ac:dyDescent="0.25">
      <c r="A269" s="29">
        <v>18</v>
      </c>
      <c r="B269" s="30">
        <f>ιγ_Αποτελέσματα_Σεναρίων!$T$8/(1+ι_Μοντέλο_Ελέγχου_α!$B$10)^A269</f>
        <v>776.2202364482639</v>
      </c>
      <c r="C269" s="30">
        <f t="shared" si="5"/>
        <v>11143.870177586812</v>
      </c>
      <c r="D269" s="42"/>
      <c r="E269" s="10"/>
      <c r="F269" s="10"/>
      <c r="G269" s="43"/>
      <c r="H269" s="9"/>
    </row>
    <row r="270" spans="1:8" x14ac:dyDescent="0.25">
      <c r="A270" s="29">
        <v>19</v>
      </c>
      <c r="B270" s="30">
        <f>ιγ_Αποτελέσματα_Σεναρίων!$T$8/(1+ι_Μοντέλο_Ελέγχου_α!$B$10)^A270</f>
        <v>761.00023181202346</v>
      </c>
      <c r="C270" s="30">
        <f t="shared" si="5"/>
        <v>11904.870409398836</v>
      </c>
      <c r="D270" s="42"/>
      <c r="E270" s="10"/>
      <c r="F270" s="10"/>
      <c r="G270" s="43"/>
      <c r="H270" s="9"/>
    </row>
    <row r="271" spans="1:8" x14ac:dyDescent="0.25">
      <c r="A271" s="29">
        <v>20</v>
      </c>
      <c r="B271" s="30">
        <f>ιγ_Αποτελέσματα_Σεναρίων!$T$8/(1+ι_Μοντέλο_Ελέγχου_α!$B$10)^A271</f>
        <v>746.0786586392386</v>
      </c>
      <c r="C271" s="30">
        <f t="shared" si="5"/>
        <v>12650.949068038075</v>
      </c>
      <c r="D271" s="42"/>
      <c r="E271" s="10"/>
      <c r="F271" s="10"/>
      <c r="G271" s="43"/>
      <c r="H271" s="9"/>
    </row>
    <row r="272" spans="1:8" x14ac:dyDescent="0.25">
      <c r="A272" s="29">
        <v>21</v>
      </c>
      <c r="B272" s="30">
        <f>ιγ_Αποτελέσματα_Σεναρίων!$T$8/(1+ι_Μοντέλο_Ελέγχου_α!$B$10)^A272</f>
        <v>731.44966533258685</v>
      </c>
      <c r="C272" s="30">
        <f t="shared" si="5"/>
        <v>13382.398733370661</v>
      </c>
      <c r="D272" s="42"/>
      <c r="E272" s="10"/>
      <c r="F272" s="10"/>
      <c r="G272" s="43"/>
      <c r="H272" s="9"/>
    </row>
    <row r="273" spans="1:8" x14ac:dyDescent="0.25">
      <c r="A273" s="29">
        <v>22</v>
      </c>
      <c r="B273" s="30">
        <f>ιγ_Αποτελέσματα_Σεναρίων!$T$8/(1+ι_Μοντέλο_Ελέγχου_α!$B$10)^A273</f>
        <v>717.10751503194786</v>
      </c>
      <c r="C273" s="30">
        <f t="shared" si="5"/>
        <v>14099.506248402609</v>
      </c>
      <c r="D273" s="42"/>
      <c r="E273" s="10"/>
      <c r="F273" s="10"/>
      <c r="G273" s="43"/>
      <c r="H273" s="9"/>
    </row>
    <row r="274" spans="1:8" x14ac:dyDescent="0.25">
      <c r="A274" s="29">
        <v>23</v>
      </c>
      <c r="B274" s="30">
        <f>ιγ_Αποτελέσματα_Σεναρίων!$T$8/(1+ι_Μοντέλο_Ελέγχου_α!$B$10)^A274</f>
        <v>703.04658336465491</v>
      </c>
      <c r="C274" s="30">
        <f t="shared" si="5"/>
        <v>14802.552831767265</v>
      </c>
      <c r="D274" s="42"/>
      <c r="E274" s="10"/>
      <c r="F274" s="10"/>
      <c r="G274" s="43"/>
      <c r="H274" s="9"/>
    </row>
    <row r="275" spans="1:8" x14ac:dyDescent="0.25">
      <c r="A275" s="29">
        <v>24</v>
      </c>
      <c r="B275" s="30">
        <f>ιγ_Αποτελέσματα_Σεναρίων!$T$8/(1+ι_Μοντέλο_Ελέγχου_α!$B$10)^A275</f>
        <v>689.26135623985772</v>
      </c>
      <c r="C275" s="30">
        <f t="shared" si="5"/>
        <v>15491.814188007123</v>
      </c>
      <c r="D275" s="42"/>
      <c r="E275" s="10"/>
      <c r="F275" s="10"/>
      <c r="G275" s="43"/>
      <c r="H275" s="9"/>
    </row>
    <row r="276" spans="1:8" x14ac:dyDescent="0.25">
      <c r="A276" s="29">
        <v>25</v>
      </c>
      <c r="B276" s="30">
        <f>ιγ_Αποτελέσματα_Σεναρίων!$T$8/(1+ι_Μοντέλο_Ελέγχου_α!$B$10)^A276</f>
        <v>675.74642768613501</v>
      </c>
      <c r="C276" s="30">
        <f t="shared" si="5"/>
        <v>16167.560615693259</v>
      </c>
      <c r="D276" s="42"/>
      <c r="E276" s="10"/>
      <c r="F276" s="10"/>
      <c r="G276" s="43"/>
      <c r="H276" s="9"/>
    </row>
  </sheetData>
  <mergeCells count="17">
    <mergeCell ref="A1:H1"/>
    <mergeCell ref="A200:C200"/>
    <mergeCell ref="A230:H230"/>
    <mergeCell ref="A181:H181"/>
    <mergeCell ref="A34:H34"/>
    <mergeCell ref="A2:H2"/>
    <mergeCell ref="A249:C249"/>
    <mergeCell ref="A136:G136"/>
    <mergeCell ref="A87:G87"/>
    <mergeCell ref="A38:G38"/>
    <mergeCell ref="A132:H132"/>
    <mergeCell ref="A53:C53"/>
    <mergeCell ref="A185:G185"/>
    <mergeCell ref="A151:C151"/>
    <mergeCell ref="A234:G234"/>
    <mergeCell ref="A83:H83"/>
    <mergeCell ref="A102:C102"/>
  </mergeCells>
  <pageMargins left="0.75" right="0.75" top="1" bottom="1" header="0.5" footer="0.5"/>
  <pageSetup paperSize="9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8">
    <pageSetUpPr fitToPage="1"/>
  </sheetPr>
  <dimension ref="A1:X8"/>
  <sheetViews>
    <sheetView showGridLines="0" zoomScale="70" zoomScaleNormal="70" workbookViewId="0">
      <selection activeCell="E4" sqref="E4"/>
    </sheetView>
  </sheetViews>
  <sheetFormatPr defaultColWidth="20.5703125" defaultRowHeight="15" x14ac:dyDescent="0.25"/>
  <sheetData>
    <row r="1" spans="1:24" ht="18" x14ac:dyDescent="0.25">
      <c r="A1" s="245" t="s">
        <v>489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s="8" customFormat="1" ht="47.25" customHeight="1" x14ac:dyDescent="0.25">
      <c r="A3" s="247" t="s">
        <v>0</v>
      </c>
      <c r="B3" s="246" t="s">
        <v>1</v>
      </c>
      <c r="C3" s="246" t="s">
        <v>2</v>
      </c>
      <c r="D3" s="246" t="s">
        <v>3</v>
      </c>
      <c r="E3" s="246" t="s">
        <v>4</v>
      </c>
      <c r="F3" s="246" t="s">
        <v>5</v>
      </c>
      <c r="G3" s="246" t="s">
        <v>6</v>
      </c>
      <c r="H3" s="246" t="s">
        <v>7</v>
      </c>
      <c r="I3" s="246" t="s">
        <v>8</v>
      </c>
      <c r="J3" s="246" t="s">
        <v>9</v>
      </c>
      <c r="K3" s="246" t="s">
        <v>10</v>
      </c>
      <c r="L3" s="246" t="s">
        <v>11</v>
      </c>
      <c r="M3" s="246" t="s">
        <v>12</v>
      </c>
      <c r="N3" s="246" t="s">
        <v>13</v>
      </c>
      <c r="O3" s="246" t="s">
        <v>14</v>
      </c>
      <c r="P3" s="246" t="s">
        <v>15</v>
      </c>
      <c r="Q3" s="246" t="s">
        <v>16</v>
      </c>
      <c r="R3" s="246" t="s">
        <v>17</v>
      </c>
      <c r="S3" s="246" t="s">
        <v>18</v>
      </c>
      <c r="T3" s="246" t="s">
        <v>19</v>
      </c>
      <c r="U3" s="246" t="s">
        <v>20</v>
      </c>
      <c r="V3" s="246" t="s">
        <v>21</v>
      </c>
      <c r="W3" s="246" t="s">
        <v>22</v>
      </c>
      <c r="X3" s="249" t="s">
        <v>23</v>
      </c>
    </row>
    <row r="4" spans="1:24" ht="20.25" customHeight="1" x14ac:dyDescent="0.25">
      <c r="A4" s="248" t="str">
        <f>ι_Μοντέλο_Ελέγχου_α!$A$40</f>
        <v>Μπαταρία 2.5 kWh</v>
      </c>
      <c r="B4" s="53">
        <f>ι_Μοντέλο_Ελέγχου_α!$B$40</f>
        <v>2.5</v>
      </c>
      <c r="C4" s="53">
        <f>ι_Μοντέλο_Ελέγχου_α!$C$40</f>
        <v>75</v>
      </c>
      <c r="D4" s="54">
        <f>ι_Μοντέλο_Ελέγχου_α!$D$40</f>
        <v>1200</v>
      </c>
      <c r="E4" s="53">
        <f>ια_Υπολογισμοί_Σεναρίων!$E$36</f>
        <v>3.96</v>
      </c>
      <c r="F4" s="54">
        <f>$E$4*ι_Μοντέλο_Ελέγχου_α!$B$7</f>
        <v>3651.2</v>
      </c>
      <c r="G4" s="54">
        <f>ι_Μοντέλο_Ελέγχου_α!$B$6-$F$4</f>
        <v>5476.8</v>
      </c>
      <c r="H4" s="54">
        <f>$F$4+$D$4</f>
        <v>4851.2</v>
      </c>
      <c r="I4" s="54">
        <f>ι_Μοντέλο_Ελέγχου_α!$B$6-$H$4</f>
        <v>4276.8</v>
      </c>
      <c r="J4" s="53">
        <f>$E$4*ι_Μοντέλο_Ελέγχου_α!$B$14</f>
        <v>5722.5960000000005</v>
      </c>
      <c r="K4" s="53">
        <f>SUM(MIN(ι_Μοντέλο_Ελέγχου_α!$B22*$E$4,ι_Μοντέλο_Ελέγχου_α!$D22*ι_Μοντέλο_Ελέγχου_α!$C22),MIN(ι_Μοντέλο_Ελέγχου_α!$B23*$E$4,ι_Μοντέλο_Ελέγχου_α!$D23*ι_Μοντέλο_Ελέγχου_α!$C23),MIN(ι_Μοντέλο_Ελέγχου_α!$B24*$E$4,ι_Μοντέλο_Ελέγχου_α!$D24*ι_Μοντέλο_Ελέγχου_α!$C24),MIN(ι_Μοντέλο_Ελέγχου_α!$B25*$E$4,ι_Μοντέλο_Ελέγχου_α!$D25*ι_Μοντέλο_Ελέγχου_α!$C25),MIN(ι_Μοντέλο_Ελέγχου_α!$B26*$E$4,ι_Μοντέλο_Ελέγχου_α!$D26*ι_Μοντέλο_Ελέγχου_α!$C26),MIN(ι_Μοντέλο_Ελέγχου_α!$B27*$E$4,ι_Μοντέλο_Ελέγχου_α!$D27*ι_Μοντέλο_Ελέγχου_α!$C27),MIN(ι_Μοντέλο_Ελέγχου_α!$B28*$E$4,ι_Μοντέλο_Ελέγχου_α!$D28*ι_Μοντέλο_Ελέγχου_α!$C28),MIN(ι_Μοντέλο_Ελέγχου_α!$B29*$E$4,ι_Μοντέλο_Ελέγχου_α!$D29*ι_Μοντέλο_Ελέγχου_α!$C29),MIN(ι_Μοντέλο_Ελέγχου_α!$B30*$E$4,ι_Μοντέλο_Ελέγχου_α!$D30*ι_Μοντέλο_Ελέγχου_α!$C30),MIN(ι_Μοντέλο_Ελέγχου_α!$B31*$E$4,ι_Μοντέλο_Ελέγχου_α!$D31*ι_Μοντέλο_Ελέγχου_α!$C31),MIN(ι_Μοντέλο_Ελέγχου_α!$B32*$E$4,ι_Μοντέλο_Ελέγχου_α!$D32*ι_Μοντέλο_Ελέγχου_α!$C32),MIN(ι_Μοντέλο_Ελέγχου_α!$B33*$E$4,ι_Μοντέλο_Ελέγχου_α!$D33*ι_Μοντέλο_Ελέγχου_α!$C33))</f>
        <v>4046.5919999999996</v>
      </c>
      <c r="L4" s="53">
        <f>SUM(MIN($C$4,MAX(ι_Μοντέλο_Ελέγχου_α!$B22*$E$4-MIN(ι_Μοντέλο_Ελέγχου_α!$B22*$E$4,ι_Μοντέλο_Ελέγχου_α!$D22*ι_Μοντέλο_Ελέγχου_α!$C22),0),MAX(ι_Μοντέλο_Ελέγχου_α!$C22-MIN(ι_Μοντέλο_Ελέγχου_α!$B22*$E$4,ι_Μοντέλο_Ελέγχου_α!$D22*ι_Μοντέλο_Ελέγχου_α!$C22),0)),MIN($C$4,MAX(ι_Μοντέλο_Ελέγχου_α!$B23*$E$4-MIN(ι_Μοντέλο_Ελέγχου_α!$B23*$E$4,ι_Μοντέλο_Ελέγχου_α!$D23*ι_Μοντέλο_Ελέγχου_α!$C23),0),MAX(ι_Μοντέλο_Ελέγχου_α!$C23-MIN(ι_Μοντέλο_Ελέγχου_α!$B23*$E$4,ι_Μοντέλο_Ελέγχου_α!$D23*ι_Μοντέλο_Ελέγχου_α!$C23),0)),MIN($C$4,MAX(ι_Μοντέλο_Ελέγχου_α!$B24*$E$4-MIN(ι_Μοντέλο_Ελέγχου_α!$B24*$E$4,ι_Μοντέλο_Ελέγχου_α!$D24*ι_Μοντέλο_Ελέγχου_α!$C24),0),MAX(ι_Μοντέλο_Ελέγχου_α!$C24-MIN(ι_Μοντέλο_Ελέγχου_α!$B24*$E$4,ι_Μοντέλο_Ελέγχου_α!$D24*ι_Μοντέλο_Ελέγχου_α!$C24),0)),MIN($C$4,MAX(ι_Μοντέλο_Ελέγχου_α!$B25*$E$4-MIN(ι_Μοντέλο_Ελέγχου_α!$B25*$E$4,ι_Μοντέλο_Ελέγχου_α!$D25*ι_Μοντέλο_Ελέγχου_α!$C25),0),MAX(ι_Μοντέλο_Ελέγχου_α!$C25-MIN(ι_Μοντέλο_Ελέγχου_α!$B25*$E$4,ι_Μοντέλο_Ελέγχου_α!$D25*ι_Μοντέλο_Ελέγχου_α!$C25),0)),MIN($C$4,MAX(ι_Μοντέλο_Ελέγχου_α!$B26*$E$4-MIN(ι_Μοντέλο_Ελέγχου_α!$B26*$E$4,ι_Μοντέλο_Ελέγχου_α!$D26*ι_Μοντέλο_Ελέγχου_α!$C26),0),MAX(ι_Μοντέλο_Ελέγχου_α!$C26-MIN(ι_Μοντέλο_Ελέγχου_α!$B26*$E$4,ι_Μοντέλο_Ελέγχου_α!$D26*ι_Μοντέλο_Ελέγχου_α!$C26),0)),MIN($C$4,MAX(ι_Μοντέλο_Ελέγχου_α!$B27*$E$4-MIN(ι_Μοντέλο_Ελέγχου_α!$B27*$E$4,ι_Μοντέλο_Ελέγχου_α!$D27*ι_Μοντέλο_Ελέγχου_α!$C27),0),MAX(ι_Μοντέλο_Ελέγχου_α!$C27-MIN(ι_Μοντέλο_Ελέγχου_α!$B27*$E$4,ι_Μοντέλο_Ελέγχου_α!$D27*ι_Μοντέλο_Ελέγχου_α!$C27),0)),MIN($C$4,MAX(ι_Μοντέλο_Ελέγχου_α!$B28*$E$4-MIN(ι_Μοντέλο_Ελέγχου_α!$B28*$E$4,ι_Μοντέλο_Ελέγχου_α!$D28*ι_Μοντέλο_Ελέγχου_α!$C28),0),MAX(ι_Μοντέλο_Ελέγχου_α!$C28-MIN(ι_Μοντέλο_Ελέγχου_α!$B28*$E$4,ι_Μοντέλο_Ελέγχου_α!$D28*ι_Μοντέλο_Ελέγχου_α!$C28),0)),MIN($C$4,MAX(ι_Μοντέλο_Ελέγχου_α!$B29*$E$4-MIN(ι_Μοντέλο_Ελέγχου_α!$B29*$E$4,ι_Μοντέλο_Ελέγχου_α!$D29*ι_Μοντέλο_Ελέγχου_α!$C29),0),MAX(ι_Μοντέλο_Ελέγχου_α!$C29-MIN(ι_Μοντέλο_Ελέγχου_α!$B29*$E$4,ι_Μοντέλο_Ελέγχου_α!$D29*ι_Μοντέλο_Ελέγχου_α!$C29),0)),MIN($C$4,MAX(ι_Μοντέλο_Ελέγχου_α!$B30*$E$4-MIN(ι_Μοντέλο_Ελέγχου_α!$B30*$E$4,ι_Μοντέλο_Ελέγχου_α!$D30*ι_Μοντέλο_Ελέγχου_α!$C30),0),MAX(ι_Μοντέλο_Ελέγχου_α!$C30-MIN(ι_Μοντέλο_Ελέγχου_α!$B30*$E$4,ι_Μοντέλο_Ελέγχου_α!$D30*ι_Μοντέλο_Ελέγχου_α!$C30),0)),MIN($C$4,MAX(ι_Μοντέλο_Ελέγχου_α!$B31*$E$4-MIN(ι_Μοντέλο_Ελέγχου_α!$B31*$E$4,ι_Μοντέλο_Ελέγχου_α!$D31*ι_Μοντέλο_Ελέγχου_α!$C31),0),MAX(ι_Μοντέλο_Ελέγχου_α!$C31-MIN(ι_Μοντέλο_Ελέγχου_α!$B31*$E$4,ι_Μοντέλο_Ελέγχου_α!$D31*ι_Μοντέλο_Ελέγχου_α!$C31),0)),MIN($C$4,MAX(ι_Μοντέλο_Ελέγχου_α!$B32*$E$4-MIN(ι_Μοντέλο_Ελέγχου_α!$B32*$E$4,ι_Μοντέλο_Ελέγχου_α!$D32*ι_Μοντέλο_Ελέγχου_α!$C32),0),MAX(ι_Μοντέλο_Ελέγχου_α!$C32-MIN(ι_Μοντέλο_Ελέγχου_α!$B32*$E$4,ι_Μοντέλο_Ελέγχου_α!$D32*ι_Μοντέλο_Ελέγχου_α!$C32),0)),MIN($C$4,MAX(ι_Μοντέλο_Ελέγχου_α!$B33*$E$4-MIN(ι_Μοντέλο_Ελέγχου_α!$B33*$E$4,ι_Μοντέλο_Ελέγχου_α!$D33*ι_Μοντέλο_Ελέγχου_α!$C33),0),MAX(ι_Μοντέλο_Ελέγχου_α!$C33-MIN(ι_Μοντέλο_Ελέγχου_α!$B33*$E$4,ι_Μοντέλο_Ελέγχου_α!$D33*ι_Μοντέλο_Ελέγχου_α!$C33),0)))</f>
        <v>533.68000000000006</v>
      </c>
      <c r="M4" s="53">
        <f>$K$4+$L$4</f>
        <v>4580.2719999999999</v>
      </c>
      <c r="N4" s="53">
        <f>ι_Μοντέλο_Ελέγχου_α!$C$34-$M$4</f>
        <v>2919.7280000000001</v>
      </c>
      <c r="O4" s="53">
        <f>ι_Μοντέλο_Ελέγχου_α!$B$16-$N$4</f>
        <v>340.27199999999993</v>
      </c>
      <c r="P4" s="53">
        <f>MAX($J$4-$M$4,0)</f>
        <v>1142.3240000000005</v>
      </c>
      <c r="Q4" s="54">
        <f>$M$4*ι_Μοντέλο_Ελέγχου_α!$B$8</f>
        <v>916.05439999999999</v>
      </c>
      <c r="R4" s="54">
        <f>$P$4*ι_Μοντέλο_Ελέγχου_α!$B$9</f>
        <v>68.539440000000027</v>
      </c>
      <c r="S4" s="54">
        <f>$R$4-ι_Μοντέλο_Ελέγχου_α!$B$17</f>
        <v>-535.44996000000003</v>
      </c>
      <c r="T4" s="54">
        <f>$Q$4+$R$4</f>
        <v>984.59384</v>
      </c>
      <c r="U4" s="54">
        <f>IF(ι_Μοντέλο_Ελέγχου_α!$B$10=0,$T$4*ι_Μοντέλο_Ελέγχου_α!$B$11-$H$4,$T$4*(1-(1+ι_Μοντέλο_Ελέγχου_α!$B$10)^(-ι_Μοντέλο_Ελέγχου_α!$B$11))/ι_Μοντέλο_Ελέγχου_α!$B$10-$H$4)</f>
        <v>14371.474979400929</v>
      </c>
      <c r="V4" s="55">
        <f>IFERROR(RATE(ι_Μοντέλο_Ελέγχου_α!$B$11,$T$4,-$H$4,0,0,0.2),"")</f>
        <v>0.20086946441432948</v>
      </c>
      <c r="W4" s="56">
        <f>IF($T$4&gt;0,$H$4/$T$4,"")</f>
        <v>4.9271078112777955</v>
      </c>
      <c r="X4" s="250">
        <f>ια_Υπολογισμοί_Σεναρίων!$G$36</f>
        <v>5.2406026895231541</v>
      </c>
    </row>
    <row r="5" spans="1:24" ht="20.25" customHeight="1" x14ac:dyDescent="0.25">
      <c r="A5" s="248" t="str">
        <f>ι_Μοντέλο_Ελέγχου_α!$A$41</f>
        <v>Μπαταρία 5 kWh</v>
      </c>
      <c r="B5" s="53">
        <f>ι_Μοντέλο_Ελέγχου_α!$B$41</f>
        <v>5</v>
      </c>
      <c r="C5" s="53">
        <f>ι_Μοντέλο_Ελέγχου_α!$C$41</f>
        <v>150</v>
      </c>
      <c r="D5" s="54">
        <f>ι_Μοντέλο_Ελέγχου_α!$D$41</f>
        <v>2400</v>
      </c>
      <c r="E5" s="53">
        <f>ια_Υπολογισμοί_Σεναρίων!$E$85</f>
        <v>3.96</v>
      </c>
      <c r="F5" s="54">
        <f>$E$5*ι_Μοντέλο_Ελέγχου_α!$B$7</f>
        <v>3651.2</v>
      </c>
      <c r="G5" s="54">
        <f>ι_Μοντέλο_Ελέγχου_α!$B$6-$F$5</f>
        <v>5476.8</v>
      </c>
      <c r="H5" s="54">
        <f>$F$5+$D$5</f>
        <v>6051.2</v>
      </c>
      <c r="I5" s="54">
        <f>ι_Μοντέλο_Ελέγχου_α!$B$6-$H$5</f>
        <v>3076.8</v>
      </c>
      <c r="J5" s="53">
        <f>$E$5*ι_Μοντέλο_Ελέγχου_α!$B$14</f>
        <v>5722.5960000000005</v>
      </c>
      <c r="K5" s="53">
        <f>SUM(MIN(ι_Μοντέλο_Ελέγχου_α!$B22*$E$5,ι_Μοντέλο_Ελέγχου_α!$D22*ι_Μοντέλο_Ελέγχου_α!$C22),MIN(ι_Μοντέλο_Ελέγχου_α!$B23*$E$5,ι_Μοντέλο_Ελέγχου_α!$D23*ι_Μοντέλο_Ελέγχου_α!$C23),MIN(ι_Μοντέλο_Ελέγχου_α!$B24*$E$5,ι_Μοντέλο_Ελέγχου_α!$D24*ι_Μοντέλο_Ελέγχου_α!$C24),MIN(ι_Μοντέλο_Ελέγχου_α!$B25*$E$5,ι_Μοντέλο_Ελέγχου_α!$D25*ι_Μοντέλο_Ελέγχου_α!$C25),MIN(ι_Μοντέλο_Ελέγχου_α!$B26*$E$5,ι_Μοντέλο_Ελέγχου_α!$D26*ι_Μοντέλο_Ελέγχου_α!$C26),MIN(ι_Μοντέλο_Ελέγχου_α!$B27*$E$5,ι_Μοντέλο_Ελέγχου_α!$D27*ι_Μοντέλο_Ελέγχου_α!$C27),MIN(ι_Μοντέλο_Ελέγχου_α!$B28*$E$5,ι_Μοντέλο_Ελέγχου_α!$D28*ι_Μοντέλο_Ελέγχου_α!$C28),MIN(ι_Μοντέλο_Ελέγχου_α!$B29*$E$5,ι_Μοντέλο_Ελέγχου_α!$D29*ι_Μοντέλο_Ελέγχου_α!$C29),MIN(ι_Μοντέλο_Ελέγχου_α!$B30*$E$5,ι_Μοντέλο_Ελέγχου_α!$D30*ι_Μοντέλο_Ελέγχου_α!$C30),MIN(ι_Μοντέλο_Ελέγχου_α!$B31*$E$5,ι_Μοντέλο_Ελέγχου_α!$D31*ι_Μοντέλο_Ελέγχου_α!$C31),MIN(ι_Μοντέλο_Ελέγχου_α!$B32*$E$5,ι_Μοντέλο_Ελέγχου_α!$D32*ι_Μοντέλο_Ελέγχου_α!$C32),MIN(ι_Μοντέλο_Ελέγχου_α!$B33*$E$5,ι_Μοντέλο_Ελέγχου_α!$D33*ι_Μοντέλο_Ελέγχου_α!$C33))</f>
        <v>4046.5919999999996</v>
      </c>
      <c r="L5" s="53">
        <f>SUM(MIN($C$5,MAX(ι_Μοντέλο_Ελέγχου_α!$B22*$E$5-MIN(ι_Μοντέλο_Ελέγχου_α!$B22*$E$5,ι_Μοντέλο_Ελέγχου_α!$D22*ι_Μοντέλο_Ελέγχου_α!$C22),0),MAX(ι_Μοντέλο_Ελέγχου_α!$C22-MIN(ι_Μοντέλο_Ελέγχου_α!$B22*$E$5,ι_Μοντέλο_Ελέγχου_α!$D22*ι_Μοντέλο_Ελέγχου_α!$C22),0)),MIN($C$5,MAX(ι_Μοντέλο_Ελέγχου_α!$B23*$E$5-MIN(ι_Μοντέλο_Ελέγχου_α!$B23*$E$5,ι_Μοντέλο_Ελέγχου_α!$D23*ι_Μοντέλο_Ελέγχου_α!$C23),0),MAX(ι_Μοντέλο_Ελέγχου_α!$C23-MIN(ι_Μοντέλο_Ελέγχου_α!$B23*$E$5,ι_Μοντέλο_Ελέγχου_α!$D23*ι_Μοντέλο_Ελέγχου_α!$C23),0)),MIN($C$5,MAX(ι_Μοντέλο_Ελέγχου_α!$B24*$E$5-MIN(ι_Μοντέλο_Ελέγχου_α!$B24*$E$5,ι_Μοντέλο_Ελέγχου_α!$D24*ι_Μοντέλο_Ελέγχου_α!$C24),0),MAX(ι_Μοντέλο_Ελέγχου_α!$C24-MIN(ι_Μοντέλο_Ελέγχου_α!$B24*$E$5,ι_Μοντέλο_Ελέγχου_α!$D24*ι_Μοντέλο_Ελέγχου_α!$C24),0)),MIN($C$5,MAX(ι_Μοντέλο_Ελέγχου_α!$B25*$E$5-MIN(ι_Μοντέλο_Ελέγχου_α!$B25*$E$5,ι_Μοντέλο_Ελέγχου_α!$D25*ι_Μοντέλο_Ελέγχου_α!$C25),0),MAX(ι_Μοντέλο_Ελέγχου_α!$C25-MIN(ι_Μοντέλο_Ελέγχου_α!$B25*$E$5,ι_Μοντέλο_Ελέγχου_α!$D25*ι_Μοντέλο_Ελέγχου_α!$C25),0)),MIN($C$5,MAX(ι_Μοντέλο_Ελέγχου_α!$B26*$E$5-MIN(ι_Μοντέλο_Ελέγχου_α!$B26*$E$5,ι_Μοντέλο_Ελέγχου_α!$D26*ι_Μοντέλο_Ελέγχου_α!$C26),0),MAX(ι_Μοντέλο_Ελέγχου_α!$C26-MIN(ι_Μοντέλο_Ελέγχου_α!$B26*$E$5,ι_Μοντέλο_Ελέγχου_α!$D26*ι_Μοντέλο_Ελέγχου_α!$C26),0)),MIN($C$5,MAX(ι_Μοντέλο_Ελέγχου_α!$B27*$E$5-MIN(ι_Μοντέλο_Ελέγχου_α!$B27*$E$5,ι_Μοντέλο_Ελέγχου_α!$D27*ι_Μοντέλο_Ελέγχου_α!$C27),0),MAX(ι_Μοντέλο_Ελέγχου_α!$C27-MIN(ι_Μοντέλο_Ελέγχου_α!$B27*$E$5,ι_Μοντέλο_Ελέγχου_α!$D27*ι_Μοντέλο_Ελέγχου_α!$C27),0)),MIN($C$5,MAX(ι_Μοντέλο_Ελέγχου_α!$B28*$E$5-MIN(ι_Μοντέλο_Ελέγχου_α!$B28*$E$5,ι_Μοντέλο_Ελέγχου_α!$D28*ι_Μοντέλο_Ελέγχου_α!$C28),0),MAX(ι_Μοντέλο_Ελέγχου_α!$C28-MIN(ι_Μοντέλο_Ελέγχου_α!$B28*$E$5,ι_Μοντέλο_Ελέγχου_α!$D28*ι_Μοντέλο_Ελέγχου_α!$C28),0)),MIN($C$5,MAX(ι_Μοντέλο_Ελέγχου_α!$B29*$E$5-MIN(ι_Μοντέλο_Ελέγχου_α!$B29*$E$5,ι_Μοντέλο_Ελέγχου_α!$D29*ι_Μοντέλο_Ελέγχου_α!$C29),0),MAX(ι_Μοντέλο_Ελέγχου_α!$C29-MIN(ι_Μοντέλο_Ελέγχου_α!$B29*$E$5,ι_Μοντέλο_Ελέγχου_α!$D29*ι_Μοντέλο_Ελέγχου_α!$C29),0)),MIN($C$5,MAX(ι_Μοντέλο_Ελέγχου_α!$B30*$E$5-MIN(ι_Μοντέλο_Ελέγχου_α!$B30*$E$5,ι_Μοντέλο_Ελέγχου_α!$D30*ι_Μοντέλο_Ελέγχου_α!$C30),0),MAX(ι_Μοντέλο_Ελέγχου_α!$C30-MIN(ι_Μοντέλο_Ελέγχου_α!$B30*$E$5,ι_Μοντέλο_Ελέγχου_α!$D30*ι_Μοντέλο_Ελέγχου_α!$C30),0)),MIN($C$5,MAX(ι_Μοντέλο_Ελέγχου_α!$B31*$E$5-MIN(ι_Μοντέλο_Ελέγχου_α!$B31*$E$5,ι_Μοντέλο_Ελέγχου_α!$D31*ι_Μοντέλο_Ελέγχου_α!$C31),0),MAX(ι_Μοντέλο_Ελέγχου_α!$C31-MIN(ι_Μοντέλο_Ελέγχου_α!$B31*$E$5,ι_Μοντέλο_Ελέγχου_α!$D31*ι_Μοντέλο_Ελέγχου_α!$C31),0)),MIN($C$5,MAX(ι_Μοντέλο_Ελέγχου_α!$B32*$E$5-MIN(ι_Μοντέλο_Ελέγχου_α!$B32*$E$5,ι_Μοντέλο_Ελέγχου_α!$D32*ι_Μοντέλο_Ελέγχου_α!$C32),0),MAX(ι_Μοντέλο_Ελέγχου_α!$C32-MIN(ι_Μοντέλο_Ελέγχου_α!$B32*$E$5,ι_Μοντέλο_Ελέγχου_α!$D32*ι_Μοντέλο_Ελέγχου_α!$C32),0)),MIN($C$5,MAX(ι_Μοντέλο_Ελέγχου_α!$B33*$E$5-MIN(ι_Μοντέλο_Ελέγχου_α!$B33*$E$5,ι_Μοντέλο_Ελέγχου_α!$D33*ι_Μοντέλο_Ελέγχου_α!$C33),0),MAX(ι_Μοντέλο_Ελέγχου_α!$C33-MIN(ι_Μοντέλο_Ελέγχου_α!$B33*$E$5,ι_Μοντέλο_Ελέγχου_α!$D33*ι_Μοντέλο_Ελέγχου_α!$C33),0)))</f>
        <v>930.52</v>
      </c>
      <c r="M5" s="53">
        <f>$K$5+$L$5</f>
        <v>4977.1119999999992</v>
      </c>
      <c r="N5" s="53">
        <f>ι_Μοντέλο_Ελέγχου_α!$C$34-$M$5</f>
        <v>2522.8880000000008</v>
      </c>
      <c r="O5" s="53">
        <f>ι_Μοντέλο_Ελέγχου_α!$B$16-$N$5</f>
        <v>737.11199999999917</v>
      </c>
      <c r="P5" s="53">
        <f>MAX($J$5-$M$5,0)</f>
        <v>745.48400000000129</v>
      </c>
      <c r="Q5" s="54">
        <f>$M$5*ι_Μοντέλο_Ελέγχου_α!$B$8</f>
        <v>995.42239999999993</v>
      </c>
      <c r="R5" s="54">
        <f>$P$5*ι_Μοντέλο_Ελέγχου_α!$B$9</f>
        <v>44.729040000000076</v>
      </c>
      <c r="S5" s="54">
        <f>$R$5-ι_Μοντέλο_Ελέγχου_α!$B$17</f>
        <v>-559.26035999999999</v>
      </c>
      <c r="T5" s="54">
        <f>$Q$5+$R$5</f>
        <v>1040.1514400000001</v>
      </c>
      <c r="U5" s="54">
        <f>IF(ι_Μοντέλο_Ελέγχου_α!$B$10=0,$T$5*ι_Μοντέλο_Ελέγχου_α!$B$11-$H$5,$T$5*(1-(1+ι_Μοντέλο_Ελέγχου_α!$B$10)^(-ι_Μοντέλο_Ελέγχου_α!$B$11))/ι_Μοντέλο_Ελέγχου_α!$B$10-$H$5)</f>
        <v>14256.151364777834</v>
      </c>
      <c r="V5" s="55">
        <f>IFERROR(RATE(ι_Μοντέλο_Ελέγχου_α!$B$11,$T$5,-$H$5,0,0,0.2),"")</f>
        <v>0.16837888999078382</v>
      </c>
      <c r="W5" s="56">
        <f>IF($T$5&gt;0,$H$5/$T$5,"")</f>
        <v>5.8176144043025113</v>
      </c>
      <c r="X5" s="250">
        <f>ια_Υπολογισμοί_Σεναρίων!$G$85</f>
        <v>6.2483269036682989</v>
      </c>
    </row>
    <row r="6" spans="1:24" ht="20.25" customHeight="1" x14ac:dyDescent="0.25">
      <c r="A6" s="248" t="str">
        <f>ι_Μοντέλο_Ελέγχου_α!$A$42</f>
        <v>Μπαταρία 7.5 kWh</v>
      </c>
      <c r="B6" s="53">
        <f>ι_Μοντέλο_Ελέγχου_α!$B$42</f>
        <v>7.5</v>
      </c>
      <c r="C6" s="53">
        <f>ι_Μοντέλο_Ελέγχου_α!$C$42</f>
        <v>225</v>
      </c>
      <c r="D6" s="54">
        <f>ι_Μοντέλο_Ελέγχου_α!$D$42</f>
        <v>3600</v>
      </c>
      <c r="E6" s="53">
        <f>ια_Υπολογισμοί_Σεναρίων!$E$134</f>
        <v>3.96</v>
      </c>
      <c r="F6" s="54">
        <f>$E$6*ι_Μοντέλο_Ελέγχου_α!$B$7</f>
        <v>3651.2</v>
      </c>
      <c r="G6" s="54">
        <f>ι_Μοντέλο_Ελέγχου_α!$B$6-$F$6</f>
        <v>5476.8</v>
      </c>
      <c r="H6" s="54">
        <f>$F$6+$D$6</f>
        <v>7251.2</v>
      </c>
      <c r="I6" s="54">
        <f>ι_Μοντέλο_Ελέγχου_α!$B$6-$H$6</f>
        <v>1876.8000000000002</v>
      </c>
      <c r="J6" s="53">
        <f>$E$6*ι_Μοντέλο_Ελέγχου_α!$B$14</f>
        <v>5722.5960000000005</v>
      </c>
      <c r="K6" s="53">
        <f>SUM(MIN(ι_Μοντέλο_Ελέγχου_α!$B22*$E$6,ι_Μοντέλο_Ελέγχου_α!$D22*ι_Μοντέλο_Ελέγχου_α!$C22),MIN(ι_Μοντέλο_Ελέγχου_α!$B23*$E$6,ι_Μοντέλο_Ελέγχου_α!$D23*ι_Μοντέλο_Ελέγχου_α!$C23),MIN(ι_Μοντέλο_Ελέγχου_α!$B24*$E$6,ι_Μοντέλο_Ελέγχου_α!$D24*ι_Μοντέλο_Ελέγχου_α!$C24),MIN(ι_Μοντέλο_Ελέγχου_α!$B25*$E$6,ι_Μοντέλο_Ελέγχου_α!$D25*ι_Μοντέλο_Ελέγχου_α!$C25),MIN(ι_Μοντέλο_Ελέγχου_α!$B26*$E$6,ι_Μοντέλο_Ελέγχου_α!$D26*ι_Μοντέλο_Ελέγχου_α!$C26),MIN(ι_Μοντέλο_Ελέγχου_α!$B27*$E$6,ι_Μοντέλο_Ελέγχου_α!$D27*ι_Μοντέλο_Ελέγχου_α!$C27),MIN(ι_Μοντέλο_Ελέγχου_α!$B28*$E$6,ι_Μοντέλο_Ελέγχου_α!$D28*ι_Μοντέλο_Ελέγχου_α!$C28),MIN(ι_Μοντέλο_Ελέγχου_α!$B29*$E$6,ι_Μοντέλο_Ελέγχου_α!$D29*ι_Μοντέλο_Ελέγχου_α!$C29),MIN(ι_Μοντέλο_Ελέγχου_α!$B30*$E$6,ι_Μοντέλο_Ελέγχου_α!$D30*ι_Μοντέλο_Ελέγχου_α!$C30),MIN(ι_Μοντέλο_Ελέγχου_α!$B31*$E$6,ι_Μοντέλο_Ελέγχου_α!$D31*ι_Μοντέλο_Ελέγχου_α!$C31),MIN(ι_Μοντέλο_Ελέγχου_α!$B32*$E$6,ι_Μοντέλο_Ελέγχου_α!$D32*ι_Μοντέλο_Ελέγχου_α!$C32),MIN(ι_Μοντέλο_Ελέγχου_α!$B33*$E$6,ι_Μοντέλο_Ελέγχου_α!$D33*ι_Μοντέλο_Ελέγχου_α!$C33))</f>
        <v>4046.5919999999996</v>
      </c>
      <c r="L6" s="53">
        <f>SUM(MIN($C$6,MAX(ι_Μοντέλο_Ελέγχου_α!$B22*$E$6-MIN(ι_Μοντέλο_Ελέγχου_α!$B22*$E$6,ι_Μοντέλο_Ελέγχου_α!$D22*ι_Μοντέλο_Ελέγχου_α!$C22),0),MAX(ι_Μοντέλο_Ελέγχου_α!$C22-MIN(ι_Μοντέλο_Ελέγχου_α!$B22*$E$6,ι_Μοντέλο_Ελέγχου_α!$D22*ι_Μοντέλο_Ελέγχου_α!$C22),0)),MIN($C$6,MAX(ι_Μοντέλο_Ελέγχου_α!$B23*$E$6-MIN(ι_Μοντέλο_Ελέγχου_α!$B23*$E$6,ι_Μοντέλο_Ελέγχου_α!$D23*ι_Μοντέλο_Ελέγχου_α!$C23),0),MAX(ι_Μοντέλο_Ελέγχου_α!$C23-MIN(ι_Μοντέλο_Ελέγχου_α!$B23*$E$6,ι_Μοντέλο_Ελέγχου_α!$D23*ι_Μοντέλο_Ελέγχου_α!$C23),0)),MIN($C$6,MAX(ι_Μοντέλο_Ελέγχου_α!$B24*$E$6-MIN(ι_Μοντέλο_Ελέγχου_α!$B24*$E$6,ι_Μοντέλο_Ελέγχου_α!$D24*ι_Μοντέλο_Ελέγχου_α!$C24),0),MAX(ι_Μοντέλο_Ελέγχου_α!$C24-MIN(ι_Μοντέλο_Ελέγχου_α!$B24*$E$6,ι_Μοντέλο_Ελέγχου_α!$D24*ι_Μοντέλο_Ελέγχου_α!$C24),0)),MIN($C$6,MAX(ι_Μοντέλο_Ελέγχου_α!$B25*$E$6-MIN(ι_Μοντέλο_Ελέγχου_α!$B25*$E$6,ι_Μοντέλο_Ελέγχου_α!$D25*ι_Μοντέλο_Ελέγχου_α!$C25),0),MAX(ι_Μοντέλο_Ελέγχου_α!$C25-MIN(ι_Μοντέλο_Ελέγχου_α!$B25*$E$6,ι_Μοντέλο_Ελέγχου_α!$D25*ι_Μοντέλο_Ελέγχου_α!$C25),0)),MIN($C$6,MAX(ι_Μοντέλο_Ελέγχου_α!$B26*$E$6-MIN(ι_Μοντέλο_Ελέγχου_α!$B26*$E$6,ι_Μοντέλο_Ελέγχου_α!$D26*ι_Μοντέλο_Ελέγχου_α!$C26),0),MAX(ι_Μοντέλο_Ελέγχου_α!$C26-MIN(ι_Μοντέλο_Ελέγχου_α!$B26*$E$6,ι_Μοντέλο_Ελέγχου_α!$D26*ι_Μοντέλο_Ελέγχου_α!$C26),0)),MIN($C$6,MAX(ι_Μοντέλο_Ελέγχου_α!$B27*$E$6-MIN(ι_Μοντέλο_Ελέγχου_α!$B27*$E$6,ι_Μοντέλο_Ελέγχου_α!$D27*ι_Μοντέλο_Ελέγχου_α!$C27),0),MAX(ι_Μοντέλο_Ελέγχου_α!$C27-MIN(ι_Μοντέλο_Ελέγχου_α!$B27*$E$6,ι_Μοντέλο_Ελέγχου_α!$D27*ι_Μοντέλο_Ελέγχου_α!$C27),0)),MIN($C$6,MAX(ι_Μοντέλο_Ελέγχου_α!$B28*$E$6-MIN(ι_Μοντέλο_Ελέγχου_α!$B28*$E$6,ι_Μοντέλο_Ελέγχου_α!$D28*ι_Μοντέλο_Ελέγχου_α!$C28),0),MAX(ι_Μοντέλο_Ελέγχου_α!$C28-MIN(ι_Μοντέλο_Ελέγχου_α!$B28*$E$6,ι_Μοντέλο_Ελέγχου_α!$D28*ι_Μοντέλο_Ελέγχου_α!$C28),0)),MIN($C$6,MAX(ι_Μοντέλο_Ελέγχου_α!$B29*$E$6-MIN(ι_Μοντέλο_Ελέγχου_α!$B29*$E$6,ι_Μοντέλο_Ελέγχου_α!$D29*ι_Μοντέλο_Ελέγχου_α!$C29),0),MAX(ι_Μοντέλο_Ελέγχου_α!$C29-MIN(ι_Μοντέλο_Ελέγχου_α!$B29*$E$6,ι_Μοντέλο_Ελέγχου_α!$D29*ι_Μοντέλο_Ελέγχου_α!$C29),0)),MIN($C$6,MAX(ι_Μοντέλο_Ελέγχου_α!$B30*$E$6-MIN(ι_Μοντέλο_Ελέγχου_α!$B30*$E$6,ι_Μοντέλο_Ελέγχου_α!$D30*ι_Μοντέλο_Ελέγχου_α!$C30),0),MAX(ι_Μοντέλο_Ελέγχου_α!$C30-MIN(ι_Μοντέλο_Ελέγχου_α!$B30*$E$6,ι_Μοντέλο_Ελέγχου_α!$D30*ι_Μοντέλο_Ελέγχου_α!$C30),0)),MIN($C$6,MAX(ι_Μοντέλο_Ελέγχου_α!$B31*$E$6-MIN(ι_Μοντέλο_Ελέγχου_α!$B31*$E$6,ι_Μοντέλο_Ελέγχου_α!$D31*ι_Μοντέλο_Ελέγχου_α!$C31),0),MAX(ι_Μοντέλο_Ελέγχου_α!$C31-MIN(ι_Μοντέλο_Ελέγχου_α!$B31*$E$6,ι_Μοντέλο_Ελέγχου_α!$D31*ι_Μοντέλο_Ελέγχου_α!$C31),0)),MIN($C$6,MAX(ι_Μοντέλο_Ελέγχου_α!$B32*$E$6-MIN(ι_Μοντέλο_Ελέγχου_α!$B32*$E$6,ι_Μοντέλο_Ελέγχου_α!$D32*ι_Μοντέλο_Ελέγχου_α!$C32),0),MAX(ι_Μοντέλο_Ελέγχου_α!$C32-MIN(ι_Μοντέλο_Ελέγχου_α!$B32*$E$6,ι_Μοντέλο_Ελέγχου_α!$D32*ι_Μοντέλο_Ελέγχου_α!$C32),0)),MIN($C$6,MAX(ι_Μοντέλο_Ελέγχου_α!$B33*$E$6-MIN(ι_Μοντέλο_Ελέγχου_α!$B33*$E$6,ι_Μοντέλο_Ελέγχου_α!$D33*ι_Μοντέλο_Ελέγχου_α!$C33),0),MAX(ι_Μοντέλο_Ελέγχου_α!$C33-MIN(ι_Μοντέλο_Ελέγχου_α!$B33*$E$6,ι_Μοντέλο_Ελέγχου_α!$D33*ι_Μοντέλο_Ελέγχου_α!$C33),0)))</f>
        <v>1000.52</v>
      </c>
      <c r="M6" s="53">
        <f>$K$6+$L$6</f>
        <v>5047.1119999999992</v>
      </c>
      <c r="N6" s="53">
        <f>ι_Μοντέλο_Ελέγχου_α!$C$34-$M$6</f>
        <v>2452.8880000000008</v>
      </c>
      <c r="O6" s="53">
        <f>ι_Μοντέλο_Ελέγχου_α!$B$16-$N$6</f>
        <v>807.11199999999917</v>
      </c>
      <c r="P6" s="53">
        <f>MAX($J$6-$M$6,0)</f>
        <v>675.48400000000129</v>
      </c>
      <c r="Q6" s="54">
        <f>$M$6*ι_Μοντέλο_Ελέγχου_α!$B$8</f>
        <v>1009.4223999999999</v>
      </c>
      <c r="R6" s="54">
        <f>$P$6*ι_Μοντέλο_Ελέγχου_α!$B$9</f>
        <v>40.529040000000073</v>
      </c>
      <c r="S6" s="54">
        <f>$R$6-ι_Μοντέλο_Ελέγχου_α!$B$17</f>
        <v>-563.46035999999992</v>
      </c>
      <c r="T6" s="54">
        <f>$Q$6+$R$6</f>
        <v>1049.95144</v>
      </c>
      <c r="U6" s="54">
        <f>IF(ι_Μοντέλο_Ελέγχου_α!$B$10=0,$T$6*ι_Μοντέλο_Ελέγχου_α!$B$11-$H$6,$T$6*(1-(1+ι_Μοντέλο_Ελέγχου_α!$B$10)^(-ι_Μοντέλο_Ελέγχου_α!$B$11))/ι_Μοντέλο_Ελέγχου_α!$B$10-$H$6)</f>
        <v>13247.481238218974</v>
      </c>
      <c r="V6" s="55">
        <f>IFERROR(RATE(ι_Μοντέλο_Ελέγχου_α!$B$11,$T$6,-$H$6,0,0,0.2),"")</f>
        <v>0.13923206025631371</v>
      </c>
      <c r="W6" s="56">
        <f>IF($T$6&gt;0,$H$6/$T$6,"")</f>
        <v>6.9062241583286932</v>
      </c>
      <c r="X6" s="250">
        <f>ια_Υπολογισμοί_Σεναρίων!$G$134</f>
        <v>7.5087732722970095</v>
      </c>
    </row>
    <row r="7" spans="1:24" ht="20.25" customHeight="1" x14ac:dyDescent="0.25">
      <c r="A7" s="248" t="str">
        <f>ι_Μοντέλο_Ελέγχου_α!$A$43</f>
        <v>Μπαταρία 10 kWh</v>
      </c>
      <c r="B7" s="53">
        <f>ι_Μοντέλο_Ελέγχου_α!$B$43</f>
        <v>10</v>
      </c>
      <c r="C7" s="53">
        <f>ι_Μοντέλο_Ελέγχου_α!$C$43</f>
        <v>300</v>
      </c>
      <c r="D7" s="54">
        <f>ι_Μοντέλο_Ελέγχου_α!$D$43</f>
        <v>4800</v>
      </c>
      <c r="E7" s="53">
        <f>ια_Υπολογισμοί_Σεναρίων!$E$183</f>
        <v>3.96</v>
      </c>
      <c r="F7" s="54">
        <f>$E$7*ι_Μοντέλο_Ελέγχου_α!$B$7</f>
        <v>3651.2</v>
      </c>
      <c r="G7" s="54">
        <f>ι_Μοντέλο_Ελέγχου_α!$B$6-$F$7</f>
        <v>5476.8</v>
      </c>
      <c r="H7" s="54">
        <f>$F$7+$D$7</f>
        <v>8451.2000000000007</v>
      </c>
      <c r="I7" s="54">
        <f>ι_Μοντέλο_Ελέγχου_α!$B$6-$H$7</f>
        <v>676.79999999999927</v>
      </c>
      <c r="J7" s="53">
        <f>$E$7*ι_Μοντέλο_Ελέγχου_α!$B$14</f>
        <v>5722.5960000000005</v>
      </c>
      <c r="K7" s="53">
        <f>SUM(MIN(ι_Μοντέλο_Ελέγχου_α!$B22*$E$7,ι_Μοντέλο_Ελέγχου_α!$D22*ι_Μοντέλο_Ελέγχου_α!$C22),MIN(ι_Μοντέλο_Ελέγχου_α!$B23*$E$7,ι_Μοντέλο_Ελέγχου_α!$D23*ι_Μοντέλο_Ελέγχου_α!$C23),MIN(ι_Μοντέλο_Ελέγχου_α!$B24*$E$7,ι_Μοντέλο_Ελέγχου_α!$D24*ι_Μοντέλο_Ελέγχου_α!$C24),MIN(ι_Μοντέλο_Ελέγχου_α!$B25*$E$7,ι_Μοντέλο_Ελέγχου_α!$D25*ι_Μοντέλο_Ελέγχου_α!$C25),MIN(ι_Μοντέλο_Ελέγχου_α!$B26*$E$7,ι_Μοντέλο_Ελέγχου_α!$D26*ι_Μοντέλο_Ελέγχου_α!$C26),MIN(ι_Μοντέλο_Ελέγχου_α!$B27*$E$7,ι_Μοντέλο_Ελέγχου_α!$D27*ι_Μοντέλο_Ελέγχου_α!$C27),MIN(ι_Μοντέλο_Ελέγχου_α!$B28*$E$7,ι_Μοντέλο_Ελέγχου_α!$D28*ι_Μοντέλο_Ελέγχου_α!$C28),MIN(ι_Μοντέλο_Ελέγχου_α!$B29*$E$7,ι_Μοντέλο_Ελέγχου_α!$D29*ι_Μοντέλο_Ελέγχου_α!$C29),MIN(ι_Μοντέλο_Ελέγχου_α!$B30*$E$7,ι_Μοντέλο_Ελέγχου_α!$D30*ι_Μοντέλο_Ελέγχου_α!$C30),MIN(ι_Μοντέλο_Ελέγχου_α!$B31*$E$7,ι_Μοντέλο_Ελέγχου_α!$D31*ι_Μοντέλο_Ελέγχου_α!$C31),MIN(ι_Μοντέλο_Ελέγχου_α!$B32*$E$7,ι_Μοντέλο_Ελέγχου_α!$D32*ι_Μοντέλο_Ελέγχου_α!$C32),MIN(ι_Μοντέλο_Ελέγχου_α!$B33*$E$7,ι_Μοντέλο_Ελέγχου_α!$D33*ι_Μοντέλο_Ελέγχου_α!$C33))</f>
        <v>4046.5919999999996</v>
      </c>
      <c r="L7" s="53">
        <f>SUM(MIN($C$7,MAX(ι_Μοντέλο_Ελέγχου_α!$B22*$E$7-MIN(ι_Μοντέλο_Ελέγχου_α!$B22*$E$7,ι_Μοντέλο_Ελέγχου_α!$D22*ι_Μοντέλο_Ελέγχου_α!$C22),0),MAX(ι_Μοντέλο_Ελέγχου_α!$C22-MIN(ι_Μοντέλο_Ελέγχου_α!$B22*$E$7,ι_Μοντέλο_Ελέγχου_α!$D22*ι_Μοντέλο_Ελέγχου_α!$C22),0)),MIN($C$7,MAX(ι_Μοντέλο_Ελέγχου_α!$B23*$E$7-MIN(ι_Μοντέλο_Ελέγχου_α!$B23*$E$7,ι_Μοντέλο_Ελέγχου_α!$D23*ι_Μοντέλο_Ελέγχου_α!$C23),0),MAX(ι_Μοντέλο_Ελέγχου_α!$C23-MIN(ι_Μοντέλο_Ελέγχου_α!$B23*$E$7,ι_Μοντέλο_Ελέγχου_α!$D23*ι_Μοντέλο_Ελέγχου_α!$C23),0)),MIN($C$7,MAX(ι_Μοντέλο_Ελέγχου_α!$B24*$E$7-MIN(ι_Μοντέλο_Ελέγχου_α!$B24*$E$7,ι_Μοντέλο_Ελέγχου_α!$D24*ι_Μοντέλο_Ελέγχου_α!$C24),0),MAX(ι_Μοντέλο_Ελέγχου_α!$C24-MIN(ι_Μοντέλο_Ελέγχου_α!$B24*$E$7,ι_Μοντέλο_Ελέγχου_α!$D24*ι_Μοντέλο_Ελέγχου_α!$C24),0)),MIN($C$7,MAX(ι_Μοντέλο_Ελέγχου_α!$B25*$E$7-MIN(ι_Μοντέλο_Ελέγχου_α!$B25*$E$7,ι_Μοντέλο_Ελέγχου_α!$D25*ι_Μοντέλο_Ελέγχου_α!$C25),0),MAX(ι_Μοντέλο_Ελέγχου_α!$C25-MIN(ι_Μοντέλο_Ελέγχου_α!$B25*$E$7,ι_Μοντέλο_Ελέγχου_α!$D25*ι_Μοντέλο_Ελέγχου_α!$C25),0)),MIN($C$7,MAX(ι_Μοντέλο_Ελέγχου_α!$B26*$E$7-MIN(ι_Μοντέλο_Ελέγχου_α!$B26*$E$7,ι_Μοντέλο_Ελέγχου_α!$D26*ι_Μοντέλο_Ελέγχου_α!$C26),0),MAX(ι_Μοντέλο_Ελέγχου_α!$C26-MIN(ι_Μοντέλο_Ελέγχου_α!$B26*$E$7,ι_Μοντέλο_Ελέγχου_α!$D26*ι_Μοντέλο_Ελέγχου_α!$C26),0)),MIN($C$7,MAX(ι_Μοντέλο_Ελέγχου_α!$B27*$E$7-MIN(ι_Μοντέλο_Ελέγχου_α!$B27*$E$7,ι_Μοντέλο_Ελέγχου_α!$D27*ι_Μοντέλο_Ελέγχου_α!$C27),0),MAX(ι_Μοντέλο_Ελέγχου_α!$C27-MIN(ι_Μοντέλο_Ελέγχου_α!$B27*$E$7,ι_Μοντέλο_Ελέγχου_α!$D27*ι_Μοντέλο_Ελέγχου_α!$C27),0)),MIN($C$7,MAX(ι_Μοντέλο_Ελέγχου_α!$B28*$E$7-MIN(ι_Μοντέλο_Ελέγχου_α!$B28*$E$7,ι_Μοντέλο_Ελέγχου_α!$D28*ι_Μοντέλο_Ελέγχου_α!$C28),0),MAX(ι_Μοντέλο_Ελέγχου_α!$C28-MIN(ι_Μοντέλο_Ελέγχου_α!$B28*$E$7,ι_Μοντέλο_Ελέγχου_α!$D28*ι_Μοντέλο_Ελέγχου_α!$C28),0)),MIN($C$7,MAX(ι_Μοντέλο_Ελέγχου_α!$B29*$E$7-MIN(ι_Μοντέλο_Ελέγχου_α!$B29*$E$7,ι_Μοντέλο_Ελέγχου_α!$D29*ι_Μοντέλο_Ελέγχου_α!$C29),0),MAX(ι_Μοντέλο_Ελέγχου_α!$C29-MIN(ι_Μοντέλο_Ελέγχου_α!$B29*$E$7,ι_Μοντέλο_Ελέγχου_α!$D29*ι_Μοντέλο_Ελέγχου_α!$C29),0)),MIN($C$7,MAX(ι_Μοντέλο_Ελέγχου_α!$B30*$E$7-MIN(ι_Μοντέλο_Ελέγχου_α!$B30*$E$7,ι_Μοντέλο_Ελέγχου_α!$D30*ι_Μοντέλο_Ελέγχου_α!$C30),0),MAX(ι_Μοντέλο_Ελέγχου_α!$C30-MIN(ι_Μοντέλο_Ελέγχου_α!$B30*$E$7,ι_Μοντέλο_Ελέγχου_α!$D30*ι_Μοντέλο_Ελέγχου_α!$C30),0)),MIN($C$7,MAX(ι_Μοντέλο_Ελέγχου_α!$B31*$E$7-MIN(ι_Μοντέλο_Ελέγχου_α!$B31*$E$7,ι_Μοντέλο_Ελέγχου_α!$D31*ι_Μοντέλο_Ελέγχου_α!$C31),0),MAX(ι_Μοντέλο_Ελέγχου_α!$C31-MIN(ι_Μοντέλο_Ελέγχου_α!$B31*$E$7,ι_Μοντέλο_Ελέγχου_α!$D31*ι_Μοντέλο_Ελέγχου_α!$C31),0)),MIN($C$7,MAX(ι_Μοντέλο_Ελέγχου_α!$B32*$E$7-MIN(ι_Μοντέλο_Ελέγχου_α!$B32*$E$7,ι_Μοντέλο_Ελέγχου_α!$D32*ι_Μοντέλο_Ελέγχου_α!$C32),0),MAX(ι_Μοντέλο_Ελέγχου_α!$C32-MIN(ι_Μοντέλο_Ελέγχου_α!$B32*$E$7,ι_Μοντέλο_Ελέγχου_α!$D32*ι_Μοντέλο_Ελέγχου_α!$C32),0)),MIN($C$7,MAX(ι_Μοντέλο_Ελέγχου_α!$B33*$E$7-MIN(ι_Μοντέλο_Ελέγχου_α!$B33*$E$7,ι_Μοντέλο_Ελέγχου_α!$D33*ι_Μοντέλο_Ελέγχου_α!$C33),0),MAX(ι_Μοντέλο_Ελέγχου_α!$C33-MIN(ι_Μοντέλο_Ελέγχου_α!$B33*$E$7,ι_Μοντέλο_Ελέγχου_α!$D33*ι_Μοντέλο_Ελέγχου_α!$C33),0)))</f>
        <v>1000.52</v>
      </c>
      <c r="M7" s="53">
        <f>$K$7+$L$7</f>
        <v>5047.1119999999992</v>
      </c>
      <c r="N7" s="53">
        <f>ι_Μοντέλο_Ελέγχου_α!$C$34-$M$7</f>
        <v>2452.8880000000008</v>
      </c>
      <c r="O7" s="53">
        <f>ι_Μοντέλο_Ελέγχου_α!$B$16-$N$7</f>
        <v>807.11199999999917</v>
      </c>
      <c r="P7" s="53">
        <f>MAX($J$7-$M$7,0)</f>
        <v>675.48400000000129</v>
      </c>
      <c r="Q7" s="54">
        <f>$M$7*ι_Μοντέλο_Ελέγχου_α!$B$8</f>
        <v>1009.4223999999999</v>
      </c>
      <c r="R7" s="54">
        <f>$P$7*ι_Μοντέλο_Ελέγχου_α!$B$9</f>
        <v>40.529040000000073</v>
      </c>
      <c r="S7" s="54">
        <f>$R$7-ι_Μοντέλο_Ελέγχου_α!$B$17</f>
        <v>-563.46035999999992</v>
      </c>
      <c r="T7" s="54">
        <f>$Q$7+$R$7</f>
        <v>1049.95144</v>
      </c>
      <c r="U7" s="54">
        <f>IF(ι_Μοντέλο_Ελέγχου_α!$B$10=0,$T$7*ι_Μοντέλο_Ελέγχου_α!$B$11-$H$7,$T$7*(1-(1+ι_Μοντέλο_Ελέγχου_α!$B$10)^(-ι_Μοντέλο_Ελέγχου_α!$B$11))/ι_Μοντέλο_Ελέγχου_α!$B$10-$H$7)</f>
        <v>12047.481238218974</v>
      </c>
      <c r="V7" s="55">
        <f>IFERROR(RATE(ι_Μοντέλο_Ελέγχου_α!$B$11,$T$7,-$H$7,0,0,0.2),"")</f>
        <v>0.11629837191441743</v>
      </c>
      <c r="W7" s="56">
        <f>IF($T$7&gt;0,$H$7/$T$7,"")</f>
        <v>8.0491341580521105</v>
      </c>
      <c r="X7" s="250">
        <f>ια_Υπολογισμοί_Σεναρίων!$G$183</f>
        <v>8.8648319850165311</v>
      </c>
    </row>
    <row r="8" spans="1:24" ht="20.25" customHeight="1" x14ac:dyDescent="0.25">
      <c r="A8" s="248" t="str">
        <f>ι_Μοντέλο_Ελέγχου_α!$A$44</f>
        <v>Χωρίς μπαταρία</v>
      </c>
      <c r="B8" s="53">
        <f>ι_Μοντέλο_Ελέγχου_α!$B$44</f>
        <v>0</v>
      </c>
      <c r="C8" s="53">
        <f>ι_Μοντέλο_Ελέγχου_α!$C$44</f>
        <v>0</v>
      </c>
      <c r="D8" s="54">
        <f>ι_Μοντέλο_Ελέγχου_α!$D$44</f>
        <v>0</v>
      </c>
      <c r="E8" s="53">
        <f>ια_Υπολογισμοί_Σεναρίων!$E$232</f>
        <v>5.94</v>
      </c>
      <c r="F8" s="54">
        <f>$E$8*ι_Μοντέλο_Ελέγχου_α!$B$7</f>
        <v>5476.8</v>
      </c>
      <c r="G8" s="54">
        <f>ι_Μοντέλο_Ελέγχου_α!$B$6-$F$8</f>
        <v>3651.2</v>
      </c>
      <c r="H8" s="54">
        <f>$F$8+$D$8</f>
        <v>5476.8</v>
      </c>
      <c r="I8" s="54">
        <f>ι_Μοντέλο_Ελέγχου_α!$B$6-$H$8</f>
        <v>3651.2</v>
      </c>
      <c r="J8" s="53">
        <f>$E$8*ι_Μοντέλο_Ελέγχου_α!$B$14</f>
        <v>8583.8940000000021</v>
      </c>
      <c r="K8" s="53">
        <f>SUM(MIN(ι_Μοντέλο_Ελέγχου_α!$B22*$E$8,ι_Μοντέλο_Ελέγχου_α!$D22*ι_Μοντέλο_Ελέγχου_α!$C22),MIN(ι_Μοντέλο_Ελέγχου_α!$B23*$E$8,ι_Μοντέλο_Ελέγχου_α!$D23*ι_Μοντέλο_Ελέγχου_α!$C23),MIN(ι_Μοντέλο_Ελέγχου_α!$B24*$E$8,ι_Μοντέλο_Ελέγχου_α!$D24*ι_Μοντέλο_Ελέγχου_α!$C24),MIN(ι_Μοντέλο_Ελέγχου_α!$B25*$E$8,ι_Μοντέλο_Ελέγχου_α!$D25*ι_Μοντέλο_Ελέγχου_α!$C25),MIN(ι_Μοντέλο_Ελέγχου_α!$B26*$E$8,ι_Μοντέλο_Ελέγχου_α!$D26*ι_Μοντέλο_Ελέγχου_α!$C26),MIN(ι_Μοντέλο_Ελέγχου_α!$B27*$E$8,ι_Μοντέλο_Ελέγχου_α!$D27*ι_Μοντέλο_Ελέγχου_α!$C27),MIN(ι_Μοντέλο_Ελέγχου_α!$B28*$E$8,ι_Μοντέλο_Ελέγχου_α!$D28*ι_Μοντέλο_Ελέγχου_α!$C28),MIN(ι_Μοντέλο_Ελέγχου_α!$B29*$E$8,ι_Μοντέλο_Ελέγχου_α!$D29*ι_Μοντέλο_Ελέγχου_α!$C29),MIN(ι_Μοντέλο_Ελέγχου_α!$B30*$E$8,ι_Μοντέλο_Ελέγχου_α!$D30*ι_Μοντέλο_Ελέγχου_α!$C30),MIN(ι_Μοντέλο_Ελέγχου_α!$B31*$E$8,ι_Μοντέλο_Ελέγχου_α!$D31*ι_Μοντέλο_Ελέγχου_α!$C31),MIN(ι_Μοντέλο_Ελέγχου_α!$B32*$E$8,ι_Μοντέλο_Ελέγχου_α!$D32*ι_Μοντέλο_Ελέγχου_α!$C32),MIN(ι_Μοντέλο_Ελέγχου_α!$B33*$E$8,ι_Μοντέλο_Ελέγχου_α!$D33*ι_Μοντέλο_Ελέγχου_α!$C33))</f>
        <v>4240</v>
      </c>
      <c r="L8" s="53">
        <f>0</f>
        <v>0</v>
      </c>
      <c r="M8" s="53">
        <f>$K$8+$L$8</f>
        <v>4240</v>
      </c>
      <c r="N8" s="53">
        <f>ι_Μοντέλο_Ελέγχου_α!$C$34-$M$8</f>
        <v>3260</v>
      </c>
      <c r="O8" s="53">
        <f>ι_Μοντέλο_Ελέγχου_α!$B$16-$N$8</f>
        <v>0</v>
      </c>
      <c r="P8" s="53">
        <f>MAX($J$8-$M$8,0)</f>
        <v>4343.8940000000021</v>
      </c>
      <c r="Q8" s="54">
        <f>$M$8*ι_Μοντέλο_Ελέγχου_α!$B$8</f>
        <v>848</v>
      </c>
      <c r="R8" s="54">
        <f>$P$8*ι_Μοντέλο_Ελέγχου_α!$B$9</f>
        <v>260.63364000000013</v>
      </c>
      <c r="S8" s="54">
        <f>$R$8-ι_Μοντέλο_Ελέγχου_α!$B$17</f>
        <v>-343.35575999999992</v>
      </c>
      <c r="T8" s="54">
        <f>$Q$8+$R$8</f>
        <v>1108.63364</v>
      </c>
      <c r="U8" s="54">
        <f>IF(ι_Μοντέλο_Ελέγχου_α!$B$10=0,$T$8*ι_Μοντέλο_Ελέγχου_α!$B$11-$H$8,$T$8*(1-(1+ι_Μοντέλο_Ελέγχου_α!$B$10)^(-ι_Μοντέλο_Ελέγχου_α!$B$11))/ι_Μοντέλο_Ελέγχου_α!$B$10-$H$8)</f>
        <v>16167.560615693248</v>
      </c>
      <c r="V8" s="55">
        <f>IFERROR(RATE(ι_Μοντέλο_Ελέγχου_α!$B$11,$T$8,-$H$8,0,0,0.2),"")</f>
        <v>0.20031559105308341</v>
      </c>
      <c r="W8" s="56">
        <f>IF($T$8&gt;0,$H$8/$T$8,"")</f>
        <v>4.9401351378801746</v>
      </c>
      <c r="X8" s="250">
        <f>ια_Υπολογισμοί_Σεναρίων!$G$232</f>
        <v>5.2552735751662327</v>
      </c>
    </row>
  </sheetData>
  <sheetProtection sheet="1" objects="1" scenarios="1"/>
  <pageMargins left="0.75" right="0.75" top="1" bottom="1" header="0.5" footer="0.5"/>
  <pageSetup paperSize="9" fitToHeight="0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1883D-D08D-42B5-B54E-2879D5A71023}">
  <sheetPr codeName="Sheet25">
    <pageSetUpPr fitToPage="1"/>
  </sheetPr>
  <dimension ref="A1:J17"/>
  <sheetViews>
    <sheetView topLeftCell="A18" workbookViewId="0">
      <selection activeCell="D46" sqref="D46"/>
    </sheetView>
  </sheetViews>
  <sheetFormatPr defaultRowHeight="15" x14ac:dyDescent="0.25"/>
  <cols>
    <col min="1" max="1" width="12.7109375" customWidth="1"/>
    <col min="2" max="3" width="14.7109375" customWidth="1"/>
    <col min="4" max="4" width="19.7109375" customWidth="1"/>
    <col min="5" max="6" width="18.7109375" customWidth="1"/>
    <col min="7" max="7" width="14.7109375" customWidth="1"/>
    <col min="9" max="9" width="26.7109375" customWidth="1"/>
    <col min="10" max="10" width="17.7109375" customWidth="1"/>
  </cols>
  <sheetData>
    <row r="1" spans="1:10" x14ac:dyDescent="0.25">
      <c r="A1" s="287" t="s">
        <v>484</v>
      </c>
      <c r="B1" s="276"/>
      <c r="C1" s="276"/>
      <c r="D1" s="276"/>
      <c r="E1" s="276"/>
      <c r="F1" s="276"/>
      <c r="G1" s="276"/>
      <c r="H1" s="9"/>
      <c r="I1" s="9"/>
      <c r="J1" s="9"/>
    </row>
    <row r="2" spans="1:10" ht="32.25" customHeight="1" x14ac:dyDescent="0.25">
      <c r="A2" s="288" t="s">
        <v>485</v>
      </c>
      <c r="B2" s="276"/>
      <c r="C2" s="276"/>
      <c r="D2" s="276"/>
      <c r="E2" s="276"/>
      <c r="F2" s="276"/>
      <c r="G2" s="276"/>
      <c r="H2" s="9"/>
      <c r="I2" s="9"/>
      <c r="J2" s="9"/>
    </row>
    <row r="3" spans="1:10" x14ac:dyDescent="0.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10" ht="38.25" x14ac:dyDescent="0.25">
      <c r="A4" s="44" t="s">
        <v>45</v>
      </c>
      <c r="B4" s="44" t="s">
        <v>474</v>
      </c>
      <c r="C4" s="44" t="s">
        <v>182</v>
      </c>
      <c r="D4" s="44" t="s">
        <v>11</v>
      </c>
      <c r="E4" s="44" t="s">
        <v>12</v>
      </c>
      <c r="F4" s="44" t="str">
        <f>ν_Απόδ_Μπαταρία_10!$M$7</f>
        <v>Υπολειπόμενες / Περίσσεια (kWh)</v>
      </c>
      <c r="G4" s="44" t="s">
        <v>475</v>
      </c>
      <c r="H4" s="9"/>
      <c r="I4" s="289" t="s">
        <v>88</v>
      </c>
      <c r="J4" s="276"/>
    </row>
    <row r="5" spans="1:10" x14ac:dyDescent="0.25">
      <c r="A5" s="45" t="str">
        <f>ν_Απόδ_Μπαταρία_10!A8</f>
        <v>January</v>
      </c>
      <c r="B5" s="46">
        <f>ν_Απόδ_Μπαταρία_10!C8</f>
        <v>328.68</v>
      </c>
      <c r="C5" s="46">
        <f>ν_Απόδ_Μπαταρία_10!D8</f>
        <v>800</v>
      </c>
      <c r="D5" s="46">
        <f>ν_Απόδ_Μπαταρία_10!J8</f>
        <v>8.6800000000000068</v>
      </c>
      <c r="E5" s="46">
        <f>ν_Απόδ_Μπαταρία_10!K8</f>
        <v>328.68</v>
      </c>
      <c r="F5" s="46">
        <f>ν_Απόδ_Μπαταρία_10!$M8</f>
        <v>0</v>
      </c>
      <c r="G5" s="47">
        <f>ν_Απόδ_Μπαταρία_10!O8</f>
        <v>65.736000000000004</v>
      </c>
      <c r="H5" s="9"/>
      <c r="I5" s="45" t="s">
        <v>0</v>
      </c>
      <c r="J5" s="45" t="str">
        <f>ν_Απόδ_Μπαταρία_10!O2</f>
        <v>Μπαταρία 10 kWh</v>
      </c>
    </row>
    <row r="6" spans="1:10" x14ac:dyDescent="0.25">
      <c r="A6" s="45" t="str">
        <f>ν_Απόδ_Μπαταρία_10!A9</f>
        <v>February</v>
      </c>
      <c r="B6" s="46">
        <f>ν_Απόδ_Μπαταρία_10!C9</f>
        <v>344.916</v>
      </c>
      <c r="C6" s="46">
        <f>ν_Απόδ_Μπαταρία_10!D9</f>
        <v>800</v>
      </c>
      <c r="D6" s="46">
        <f>ν_Απόδ_Μπαταρία_10!J9</f>
        <v>0</v>
      </c>
      <c r="E6" s="46">
        <f>ν_Απόδ_Μπαταρία_10!K9</f>
        <v>344.916</v>
      </c>
      <c r="F6" s="46">
        <f>ν_Απόδ_Μπαταρία_10!$M9</f>
        <v>0</v>
      </c>
      <c r="G6" s="47">
        <f>ν_Απόδ_Μπαταρία_10!O9</f>
        <v>68.983199999999997</v>
      </c>
      <c r="H6" s="9"/>
      <c r="I6" s="45" t="s">
        <v>477</v>
      </c>
      <c r="J6" s="46">
        <f>ν_Απόδ_Μπαταρία_10!O3</f>
        <v>300</v>
      </c>
    </row>
    <row r="7" spans="1:10" x14ac:dyDescent="0.25">
      <c r="A7" s="45" t="str">
        <f>ν_Απόδ_Μπαταρία_10!A10</f>
        <v>March</v>
      </c>
      <c r="B7" s="46">
        <f>ν_Απόδ_Μπαταρία_10!C10</f>
        <v>464.904</v>
      </c>
      <c r="C7" s="46">
        <f>ν_Απόδ_Μπαταρία_10!D10</f>
        <v>800</v>
      </c>
      <c r="D7" s="46">
        <f>ν_Απόδ_Μπαταρία_10!J10</f>
        <v>0</v>
      </c>
      <c r="E7" s="46">
        <f>ν_Απόδ_Μπαταρία_10!K10</f>
        <v>464.904</v>
      </c>
      <c r="F7" s="46">
        <f>ν_Απόδ_Μπαταρία_10!$M10</f>
        <v>0</v>
      </c>
      <c r="G7" s="47">
        <f>ν_Απόδ_Μπαταρία_10!O10</f>
        <v>92.980800000000002</v>
      </c>
      <c r="H7" s="9"/>
      <c r="I7" s="45" t="s">
        <v>4</v>
      </c>
      <c r="J7" s="46">
        <f>ν_Απόδ_Μπαταρία_10!J4/1000</f>
        <v>3.96</v>
      </c>
    </row>
    <row r="8" spans="1:10" x14ac:dyDescent="0.25">
      <c r="A8" s="45" t="str">
        <f>ν_Απόδ_Μπαταρία_10!A11</f>
        <v>April</v>
      </c>
      <c r="B8" s="46">
        <f>ν_Απόδ_Μπαταρία_10!C11</f>
        <v>532.62</v>
      </c>
      <c r="C8" s="46">
        <f>ν_Απόδ_Μπαταρία_10!D11</f>
        <v>450</v>
      </c>
      <c r="D8" s="46">
        <f>ν_Απόδ_Μπαταρία_10!J11</f>
        <v>135</v>
      </c>
      <c r="E8" s="46">
        <f>ν_Απόδ_Μπαταρία_10!K11</f>
        <v>450</v>
      </c>
      <c r="F8" s="46">
        <f>ν_Απόδ_Μπαταρία_10!$M11</f>
        <v>82.62</v>
      </c>
      <c r="G8" s="47">
        <f>ν_Απόδ_Μπαταρία_10!O11</f>
        <v>94.9572</v>
      </c>
      <c r="H8" s="9"/>
      <c r="I8" s="45" t="s">
        <v>7</v>
      </c>
      <c r="J8" s="47">
        <f>ν_Απόδ_Μπαταρία_10!O4</f>
        <v>8451.2000000000007</v>
      </c>
    </row>
    <row r="9" spans="1:10" x14ac:dyDescent="0.25">
      <c r="A9" s="45" t="str">
        <f>ν_Απόδ_Μπαταρία_10!A12</f>
        <v>May</v>
      </c>
      <c r="B9" s="46">
        <f>ν_Απόδ_Μπαταρία_10!C12</f>
        <v>594.39599999999996</v>
      </c>
      <c r="C9" s="46">
        <f>ν_Απόδ_Μπαταρία_10!D12</f>
        <v>400</v>
      </c>
      <c r="D9" s="46">
        <f>ν_Απόδ_Μπαταρία_10!J12</f>
        <v>120</v>
      </c>
      <c r="E9" s="46">
        <f>ν_Απόδ_Μπαταρία_10!K12</f>
        <v>400</v>
      </c>
      <c r="F9" s="46">
        <f>ν_Απόδ_Μπαταρία_10!$M12</f>
        <v>194.39599999999996</v>
      </c>
      <c r="G9" s="47">
        <f>ν_Απόδ_Μπαταρία_10!O12</f>
        <v>91.663759999999996</v>
      </c>
      <c r="H9" s="9"/>
      <c r="I9" s="45" t="s">
        <v>3</v>
      </c>
      <c r="J9" s="47">
        <f>ν_Απόδ_Μπαταρία_10!B23</f>
        <v>4800</v>
      </c>
    </row>
    <row r="10" spans="1:10" x14ac:dyDescent="0.25">
      <c r="A10" s="45" t="str">
        <f>ν_Απόδ_Μπαταρία_10!A13</f>
        <v>June</v>
      </c>
      <c r="B10" s="46">
        <f>ν_Απόδ_Μπαταρία_10!C13</f>
        <v>618.15599999999995</v>
      </c>
      <c r="C10" s="46">
        <f>ν_Απόδ_Μπαταρία_10!D13</f>
        <v>450</v>
      </c>
      <c r="D10" s="46">
        <f>ν_Απόδ_Μπαταρία_10!J13</f>
        <v>135</v>
      </c>
      <c r="E10" s="46">
        <f>ν_Απόδ_Μπαταρία_10!K13</f>
        <v>450</v>
      </c>
      <c r="F10" s="46">
        <f>ν_Απόδ_Μπαταρία_10!$M13</f>
        <v>168.15599999999995</v>
      </c>
      <c r="G10" s="47">
        <f>ν_Απόδ_Μπαταρία_10!O13</f>
        <v>100.08936</v>
      </c>
      <c r="H10" s="9"/>
      <c r="I10" s="45" t="s">
        <v>20</v>
      </c>
      <c r="J10" s="47">
        <f>ν_Απόδ_Μπαταρία_10!J23</f>
        <v>12047.481238218974</v>
      </c>
    </row>
    <row r="11" spans="1:10" x14ac:dyDescent="0.25">
      <c r="A11" s="45" t="str">
        <f>ν_Απόδ_Μπαταρία_10!A14</f>
        <v>July</v>
      </c>
      <c r="B11" s="46">
        <f>ν_Απόδ_Μπαταρία_10!C14</f>
        <v>674.38800000000003</v>
      </c>
      <c r="C11" s="46">
        <f>ν_Απόδ_Μπαταρία_10!D14</f>
        <v>600</v>
      </c>
      <c r="D11" s="46">
        <f>ν_Απόδ_Μπαταρία_10!J14</f>
        <v>180</v>
      </c>
      <c r="E11" s="46">
        <f>ν_Απόδ_Μπαταρία_10!K14</f>
        <v>600</v>
      </c>
      <c r="F11" s="46">
        <f>ν_Απόδ_Μπαταρία_10!$M14</f>
        <v>74.388000000000034</v>
      </c>
      <c r="G11" s="47">
        <f>ν_Απόδ_Μπαταρία_10!O14</f>
        <v>124.46328</v>
      </c>
      <c r="H11" s="9"/>
      <c r="I11" s="45" t="s">
        <v>21</v>
      </c>
      <c r="J11" s="48">
        <f>ν_Απόδ_Μπαταρία_10!L23</f>
        <v>0.11629837191441743</v>
      </c>
    </row>
    <row r="12" spans="1:10" x14ac:dyDescent="0.25">
      <c r="A12" s="45" t="str">
        <f>ν_Απόδ_Μπαταρία_10!A15</f>
        <v>August</v>
      </c>
      <c r="B12" s="46">
        <f>ν_Απόδ_Μπαταρία_10!C15</f>
        <v>641.52</v>
      </c>
      <c r="C12" s="46">
        <f>ν_Απόδ_Μπαταρία_10!D15</f>
        <v>600</v>
      </c>
      <c r="D12" s="46">
        <f>ν_Απόδ_Μπαταρία_10!J15</f>
        <v>180</v>
      </c>
      <c r="E12" s="46">
        <f>ν_Απόδ_Μπαταρία_10!K15</f>
        <v>600</v>
      </c>
      <c r="F12" s="46">
        <f>ν_Απόδ_Μπαταρία_10!$M15</f>
        <v>41.519999999999982</v>
      </c>
      <c r="G12" s="47">
        <f>ν_Απόδ_Μπαταρία_10!O15</f>
        <v>122.49119999999999</v>
      </c>
      <c r="H12" s="9"/>
      <c r="I12" s="45" t="s">
        <v>23</v>
      </c>
      <c r="J12" s="49">
        <f>ν_Απόδ_Μπαταρία_10!N23</f>
        <v>8.8648319850165311</v>
      </c>
    </row>
    <row r="13" spans="1:10" x14ac:dyDescent="0.25">
      <c r="A13" s="45" t="str">
        <f>ν_Απόδ_Μπαταρία_10!A16</f>
        <v>September</v>
      </c>
      <c r="B13" s="46">
        <f>ν_Απόδ_Μπαταρία_10!C16</f>
        <v>514.404</v>
      </c>
      <c r="C13" s="46">
        <f>ν_Απόδ_Μπαταρία_10!D16</f>
        <v>400</v>
      </c>
      <c r="D13" s="46">
        <f>ν_Απόδ_Μπαταρία_10!J16</f>
        <v>160</v>
      </c>
      <c r="E13" s="46">
        <f>ν_Απόδ_Μπαταρία_10!K16</f>
        <v>400</v>
      </c>
      <c r="F13" s="46">
        <f>ν_Απόδ_Μπαταρία_10!$M16</f>
        <v>114.404</v>
      </c>
      <c r="G13" s="47">
        <f>ν_Απόδ_Μπαταρία_10!O16</f>
        <v>86.864239999999995</v>
      </c>
      <c r="H13" s="9"/>
      <c r="I13" s="45" t="s">
        <v>19</v>
      </c>
      <c r="J13" s="47">
        <f>ν_Απόδ_Μπαταρία_10!O21</f>
        <v>1049.9514399999998</v>
      </c>
    </row>
    <row r="14" spans="1:10" x14ac:dyDescent="0.25">
      <c r="A14" s="45" t="str">
        <f>ν_Απόδ_Μπαταρία_10!A17</f>
        <v>October</v>
      </c>
      <c r="B14" s="46">
        <f>ν_Απόδ_Μπαταρία_10!C17</f>
        <v>411.84</v>
      </c>
      <c r="C14" s="46">
        <f>ν_Απόδ_Μπαταρία_10!D17</f>
        <v>600</v>
      </c>
      <c r="D14" s="46">
        <f>ν_Απόδ_Μπαταρία_10!J17</f>
        <v>81.839999999999975</v>
      </c>
      <c r="E14" s="46">
        <f>ν_Απόδ_Μπαταρία_10!K17</f>
        <v>411.84</v>
      </c>
      <c r="F14" s="46">
        <f>ν_Απόδ_Μπαταρία_10!$M17</f>
        <v>0</v>
      </c>
      <c r="G14" s="47">
        <f>ν_Απόδ_Μπαταρία_10!O17</f>
        <v>82.367999999999995</v>
      </c>
      <c r="H14" s="9"/>
      <c r="I14" s="9"/>
      <c r="J14" s="9"/>
    </row>
    <row r="15" spans="1:10" x14ac:dyDescent="0.25">
      <c r="A15" s="45" t="str">
        <f>ν_Απόδ_Μπαταρία_10!A18</f>
        <v>November</v>
      </c>
      <c r="B15" s="46">
        <f>ν_Απόδ_Μπαταρία_10!C18</f>
        <v>306.50400000000002</v>
      </c>
      <c r="C15" s="46">
        <f>ν_Απόδ_Μπαταρία_10!D18</f>
        <v>800</v>
      </c>
      <c r="D15" s="46">
        <f>ν_Απόδ_Μπαταρία_10!J18</f>
        <v>0</v>
      </c>
      <c r="E15" s="46">
        <f>ν_Απόδ_Μπαταρία_10!K18</f>
        <v>306.50400000000002</v>
      </c>
      <c r="F15" s="46">
        <f>ν_Απόδ_Μπαταρία_10!$M18</f>
        <v>0</v>
      </c>
      <c r="G15" s="47">
        <f>ν_Απόδ_Μπαταρία_10!O18</f>
        <v>61.30080000000001</v>
      </c>
      <c r="H15" s="9"/>
      <c r="I15" s="9"/>
      <c r="J15" s="9"/>
    </row>
    <row r="16" spans="1:10" x14ac:dyDescent="0.25">
      <c r="A16" s="45" t="str">
        <f>ν_Απόδ_Μπαταρία_10!A19</f>
        <v>December</v>
      </c>
      <c r="B16" s="46">
        <f>ν_Απόδ_Μπαταρία_10!C19</f>
        <v>290.26799999999997</v>
      </c>
      <c r="C16" s="46">
        <f>ν_Απόδ_Μπαταρία_10!D19</f>
        <v>800</v>
      </c>
      <c r="D16" s="46">
        <f>ν_Απόδ_Μπαταρία_10!J19</f>
        <v>0</v>
      </c>
      <c r="E16" s="46">
        <f>ν_Απόδ_Μπαταρία_10!K19</f>
        <v>290.26799999999997</v>
      </c>
      <c r="F16" s="46">
        <f>ν_Απόδ_Μπαταρία_10!$M19</f>
        <v>0</v>
      </c>
      <c r="G16" s="47">
        <f>ν_Απόδ_Μπαταρία_10!O19</f>
        <v>58.053599999999996</v>
      </c>
      <c r="H16" s="9"/>
      <c r="I16" s="9"/>
      <c r="J16" s="9"/>
    </row>
    <row r="17" spans="1:10" ht="25.5" x14ac:dyDescent="0.25">
      <c r="A17" s="50" t="s">
        <v>476</v>
      </c>
      <c r="B17" s="51">
        <f>ν_Απόδ_Μπαταρία_10!C21</f>
        <v>5722.5960000000005</v>
      </c>
      <c r="C17" s="51">
        <f>ν_Απόδ_Μπαταρία_10!D21</f>
        <v>7500</v>
      </c>
      <c r="D17" s="51">
        <f>ν_Απόδ_Μπαταρία_10!J21</f>
        <v>1000.52</v>
      </c>
      <c r="E17" s="51">
        <f>ν_Απόδ_Μπαταρία_10!K21</f>
        <v>5047.1120000000001</v>
      </c>
      <c r="F17" s="46">
        <f>ν_Απόδ_Μπαταρία_10!$M$21</f>
        <v>675.48399999999992</v>
      </c>
      <c r="G17" s="52">
        <f>ν_Απόδ_Μπαταρία_10!O21</f>
        <v>1049.9514399999998</v>
      </c>
      <c r="H17" s="9"/>
      <c r="I17" s="9"/>
      <c r="J17" s="9"/>
    </row>
  </sheetData>
  <sheetProtection sheet="1" objects="1" scenarios="1"/>
  <mergeCells count="3">
    <mergeCell ref="A1:G1"/>
    <mergeCell ref="A2:G2"/>
    <mergeCell ref="I4:J4"/>
  </mergeCells>
  <pageMargins left="0.7" right="0.7" top="0.75" bottom="0.75" header="0.3" footer="0.3"/>
  <pageSetup paperSize="9" fitToHeight="0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3">
    <pageSetUpPr fitToPage="1"/>
  </sheetPr>
  <dimension ref="A1:O23"/>
  <sheetViews>
    <sheetView showGridLines="0" topLeftCell="A20" zoomScaleNormal="100" workbookViewId="0">
      <selection activeCell="J2" sqref="J2"/>
    </sheetView>
  </sheetViews>
  <sheetFormatPr defaultRowHeight="15" x14ac:dyDescent="0.25"/>
  <cols>
    <col min="1" max="1" width="13.28515625" customWidth="1"/>
    <col min="2" max="2" width="10.7109375" bestFit="1" customWidth="1"/>
    <col min="3" max="3" width="14.5703125" customWidth="1"/>
    <col min="4" max="4" width="13.140625" customWidth="1"/>
    <col min="5" max="5" width="14.85546875" customWidth="1"/>
    <col min="6" max="6" width="15.28515625" customWidth="1"/>
    <col min="7" max="7" width="16" customWidth="1"/>
    <col min="8" max="8" width="14.7109375" customWidth="1"/>
    <col min="9" max="9" width="12" bestFit="1" customWidth="1"/>
    <col min="10" max="10" width="13.42578125" bestFit="1" customWidth="1"/>
    <col min="11" max="12" width="14" customWidth="1"/>
    <col min="13" max="13" width="14.42578125" customWidth="1"/>
    <col min="14" max="15" width="15" customWidth="1"/>
  </cols>
  <sheetData>
    <row r="1" spans="1:15" ht="26.25" customHeight="1" x14ac:dyDescent="0.25">
      <c r="A1" s="294" t="s">
        <v>239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2"/>
    </row>
    <row r="2" spans="1:15" ht="18.75" customHeight="1" x14ac:dyDescent="0.25">
      <c r="A2" s="290" t="s">
        <v>214</v>
      </c>
      <c r="B2" s="291"/>
      <c r="C2" s="291"/>
      <c r="D2" s="291"/>
      <c r="E2" s="291"/>
      <c r="F2" s="291"/>
      <c r="G2" s="291"/>
      <c r="H2" s="291"/>
      <c r="I2" s="292"/>
      <c r="J2" s="74">
        <f>ι_Μοντέλο_Ελέγχου_α!$B$8</f>
        <v>0.2</v>
      </c>
      <c r="K2" s="290" t="s">
        <v>211</v>
      </c>
      <c r="L2" s="291"/>
      <c r="M2" s="291"/>
      <c r="N2" s="292"/>
      <c r="O2" s="75" t="str">
        <f>ιγ_Αποτελέσματα_Σεναρίων!$A$7</f>
        <v>Μπαταρία 10 kWh</v>
      </c>
    </row>
    <row r="3" spans="1:15" ht="18.75" customHeight="1" x14ac:dyDescent="0.25">
      <c r="A3" s="290" t="s">
        <v>215</v>
      </c>
      <c r="B3" s="291"/>
      <c r="C3" s="291"/>
      <c r="D3" s="291"/>
      <c r="E3" s="291"/>
      <c r="F3" s="291"/>
      <c r="G3" s="291"/>
      <c r="H3" s="291"/>
      <c r="I3" s="292"/>
      <c r="J3" s="74">
        <f>ι_Μοντέλο_Ελέγχου_α!$B$9</f>
        <v>0.06</v>
      </c>
      <c r="K3" s="290" t="s">
        <v>216</v>
      </c>
      <c r="L3" s="291"/>
      <c r="M3" s="291"/>
      <c r="N3" s="292"/>
      <c r="O3" s="76">
        <f>ιγ_Αποτελέσματα_Σεναρίων!$C$7</f>
        <v>300</v>
      </c>
    </row>
    <row r="4" spans="1:15" ht="18.75" customHeight="1" x14ac:dyDescent="0.25">
      <c r="A4" s="290" t="s">
        <v>240</v>
      </c>
      <c r="B4" s="291"/>
      <c r="C4" s="291"/>
      <c r="D4" s="291"/>
      <c r="E4" s="291"/>
      <c r="F4" s="291"/>
      <c r="G4" s="291"/>
      <c r="H4" s="291"/>
      <c r="I4" s="292"/>
      <c r="J4" s="77">
        <f>ιγ_Αποτελέσματα_Σεναρίων!$E$7*1000</f>
        <v>3960</v>
      </c>
      <c r="K4" s="290" t="s">
        <v>218</v>
      </c>
      <c r="L4" s="291"/>
      <c r="M4" s="291"/>
      <c r="N4" s="292"/>
      <c r="O4" s="78">
        <f>ιγ_Αποτελέσματα_Σεναρίων!$H$7</f>
        <v>8451.2000000000007</v>
      </c>
    </row>
    <row r="5" spans="1:15" ht="31.5" customHeight="1" x14ac:dyDescent="0.25">
      <c r="A5" s="73"/>
      <c r="B5" s="293" t="s">
        <v>219</v>
      </c>
      <c r="C5" s="292"/>
      <c r="D5" s="295" t="s">
        <v>241</v>
      </c>
      <c r="E5" s="291"/>
      <c r="F5" s="291"/>
      <c r="G5" s="291"/>
      <c r="H5" s="291"/>
      <c r="I5" s="291"/>
      <c r="J5" s="292"/>
      <c r="K5" s="295" t="s">
        <v>221</v>
      </c>
      <c r="L5" s="291"/>
      <c r="M5" s="291"/>
      <c r="N5" s="291"/>
      <c r="O5" s="292"/>
    </row>
    <row r="6" spans="1:15" ht="30" customHeight="1" x14ac:dyDescent="0.25">
      <c r="A6" s="79">
        <v>1</v>
      </c>
      <c r="B6" s="67">
        <v>2</v>
      </c>
      <c r="C6" s="67">
        <v>3</v>
      </c>
      <c r="D6" s="80">
        <v>4</v>
      </c>
      <c r="E6" s="80">
        <v>5</v>
      </c>
      <c r="F6" s="80">
        <v>6</v>
      </c>
      <c r="G6" s="80">
        <v>7</v>
      </c>
      <c r="H6" s="80">
        <v>8</v>
      </c>
      <c r="I6" s="80">
        <v>9</v>
      </c>
      <c r="J6" s="80">
        <v>10</v>
      </c>
      <c r="K6" s="80">
        <v>11</v>
      </c>
      <c r="L6" s="80">
        <v>12</v>
      </c>
      <c r="M6" s="80">
        <v>13</v>
      </c>
      <c r="N6" s="80">
        <v>14</v>
      </c>
      <c r="O6" s="80">
        <v>15</v>
      </c>
    </row>
    <row r="7" spans="1:15" ht="60" customHeight="1" x14ac:dyDescent="0.25">
      <c r="A7" s="68" t="s">
        <v>222</v>
      </c>
      <c r="B7" s="66" t="s">
        <v>223</v>
      </c>
      <c r="C7" s="66" t="s">
        <v>224</v>
      </c>
      <c r="D7" s="69" t="s">
        <v>225</v>
      </c>
      <c r="E7" s="69" t="s">
        <v>226</v>
      </c>
      <c r="F7" s="69" t="s">
        <v>227</v>
      </c>
      <c r="G7" s="69" t="s">
        <v>242</v>
      </c>
      <c r="H7" s="70" t="s">
        <v>243</v>
      </c>
      <c r="I7" s="69" t="s">
        <v>216</v>
      </c>
      <c r="J7" s="69" t="s">
        <v>230</v>
      </c>
      <c r="K7" s="69" t="s">
        <v>231</v>
      </c>
      <c r="L7" s="69" t="s">
        <v>244</v>
      </c>
      <c r="M7" s="69" t="s">
        <v>245</v>
      </c>
      <c r="N7" s="69" t="s">
        <v>233</v>
      </c>
      <c r="O7" s="69" t="s">
        <v>234</v>
      </c>
    </row>
    <row r="8" spans="1:15" x14ac:dyDescent="0.25">
      <c r="A8" s="71" t="str">
        <f>'Απόδοση Εγκατάστασης'!$A$8</f>
        <v>January</v>
      </c>
      <c r="B8" s="72">
        <f>'Απόδοση Εγκατάστασης'!$B$8</f>
        <v>83</v>
      </c>
      <c r="C8" s="72">
        <f t="shared" ref="C8:C19" si="0">B8*J$4/1000</f>
        <v>328.68</v>
      </c>
      <c r="D8" s="81">
        <f>ι_Μοντέλο_Ελέγχου_α!$C$22</f>
        <v>800</v>
      </c>
      <c r="E8" s="82">
        <f>'Απόδοση Εγκατάστασης'!$E$8</f>
        <v>0.4</v>
      </c>
      <c r="F8" s="83">
        <f t="shared" ref="F8:F19" si="1">MIN(C8,E8*D8)</f>
        <v>320</v>
      </c>
      <c r="G8" s="83">
        <f t="shared" ref="G8:G19" si="2">D8-F8</f>
        <v>480</v>
      </c>
      <c r="H8" s="83">
        <f t="shared" ref="H8:H19" si="3">MAX(C8-F8,0)</f>
        <v>8.6800000000000068</v>
      </c>
      <c r="I8" s="83">
        <f t="shared" ref="I8:I19" si="4">$O$3</f>
        <v>300</v>
      </c>
      <c r="J8" s="83">
        <f t="shared" ref="J8:J19" si="5">MIN(I8,H8,G8)</f>
        <v>8.6800000000000068</v>
      </c>
      <c r="K8" s="83">
        <f t="shared" ref="K8:K19" si="6">F8+J8</f>
        <v>328.68</v>
      </c>
      <c r="L8" s="83">
        <f t="shared" ref="L8:L19" si="7">D8-K8</f>
        <v>471.32</v>
      </c>
      <c r="M8" s="83">
        <f t="shared" ref="M8:M19" si="8">MAX(C8-K8,0)</f>
        <v>0</v>
      </c>
      <c r="N8" s="83">
        <f t="shared" ref="N8:N19" si="9">M8*J$3</f>
        <v>0</v>
      </c>
      <c r="O8" s="83">
        <f t="shared" ref="O8:O19" si="10">K8*J$2+N8</f>
        <v>65.736000000000004</v>
      </c>
    </row>
    <row r="9" spans="1:15" x14ac:dyDescent="0.25">
      <c r="A9" s="71" t="str">
        <f>'Απόδοση Εγκατάστασης'!$A$9</f>
        <v>February</v>
      </c>
      <c r="B9" s="72">
        <f>'Απόδοση Εγκατάστασης'!$B$9</f>
        <v>87.1</v>
      </c>
      <c r="C9" s="72">
        <f t="shared" si="0"/>
        <v>344.916</v>
      </c>
      <c r="D9" s="81">
        <f>ι_Μοντέλο_Ελέγχου_α!$C$23</f>
        <v>800</v>
      </c>
      <c r="E9" s="82">
        <f>'Απόδοση Εγκατάστασης'!$E$9</f>
        <v>0.5</v>
      </c>
      <c r="F9" s="83">
        <f t="shared" si="1"/>
        <v>344.916</v>
      </c>
      <c r="G9" s="83">
        <f t="shared" si="2"/>
        <v>455.084</v>
      </c>
      <c r="H9" s="83">
        <f t="shared" si="3"/>
        <v>0</v>
      </c>
      <c r="I9" s="83">
        <f t="shared" si="4"/>
        <v>300</v>
      </c>
      <c r="J9" s="83">
        <f t="shared" si="5"/>
        <v>0</v>
      </c>
      <c r="K9" s="83">
        <f t="shared" si="6"/>
        <v>344.916</v>
      </c>
      <c r="L9" s="83">
        <f t="shared" si="7"/>
        <v>455.084</v>
      </c>
      <c r="M9" s="83">
        <f t="shared" si="8"/>
        <v>0</v>
      </c>
      <c r="N9" s="83">
        <f t="shared" si="9"/>
        <v>0</v>
      </c>
      <c r="O9" s="83">
        <f t="shared" si="10"/>
        <v>68.983199999999997</v>
      </c>
    </row>
    <row r="10" spans="1:15" x14ac:dyDescent="0.25">
      <c r="A10" s="71" t="str">
        <f>'Απόδοση Εγκατάστασης'!$A$10</f>
        <v>March</v>
      </c>
      <c r="B10" s="72">
        <f>'Απόδοση Εγκατάστασης'!$B$10</f>
        <v>117.4</v>
      </c>
      <c r="C10" s="72">
        <f t="shared" si="0"/>
        <v>464.904</v>
      </c>
      <c r="D10" s="81">
        <f>ι_Μοντέλο_Ελέγχου_α!$C$24</f>
        <v>800</v>
      </c>
      <c r="E10" s="82">
        <f>'Απόδοση Εγκατάστασης'!$E$10</f>
        <v>0.6</v>
      </c>
      <c r="F10" s="83">
        <f t="shared" si="1"/>
        <v>464.904</v>
      </c>
      <c r="G10" s="83">
        <f t="shared" si="2"/>
        <v>335.096</v>
      </c>
      <c r="H10" s="83">
        <f t="shared" si="3"/>
        <v>0</v>
      </c>
      <c r="I10" s="83">
        <f t="shared" si="4"/>
        <v>300</v>
      </c>
      <c r="J10" s="83">
        <f t="shared" si="5"/>
        <v>0</v>
      </c>
      <c r="K10" s="83">
        <f t="shared" si="6"/>
        <v>464.904</v>
      </c>
      <c r="L10" s="83">
        <f t="shared" si="7"/>
        <v>335.096</v>
      </c>
      <c r="M10" s="83">
        <f t="shared" si="8"/>
        <v>0</v>
      </c>
      <c r="N10" s="83">
        <f t="shared" si="9"/>
        <v>0</v>
      </c>
      <c r="O10" s="83">
        <f t="shared" si="10"/>
        <v>92.980800000000002</v>
      </c>
    </row>
    <row r="11" spans="1:15" x14ac:dyDescent="0.25">
      <c r="A11" s="71" t="str">
        <f>'Απόδοση Εγκατάστασης'!$A$11</f>
        <v>April</v>
      </c>
      <c r="B11" s="72">
        <f>'Απόδοση Εγκατάστασης'!$B$11</f>
        <v>134.5</v>
      </c>
      <c r="C11" s="72">
        <f t="shared" si="0"/>
        <v>532.62</v>
      </c>
      <c r="D11" s="81">
        <f>ι_Μοντέλο_Ελέγχου_α!$C$25</f>
        <v>450</v>
      </c>
      <c r="E11" s="82">
        <f>'Απόδοση Εγκατάστασης'!$E$11</f>
        <v>0.7</v>
      </c>
      <c r="F11" s="83">
        <f t="shared" si="1"/>
        <v>315</v>
      </c>
      <c r="G11" s="83">
        <f t="shared" si="2"/>
        <v>135</v>
      </c>
      <c r="H11" s="83">
        <f t="shared" si="3"/>
        <v>217.62</v>
      </c>
      <c r="I11" s="83">
        <f t="shared" si="4"/>
        <v>300</v>
      </c>
      <c r="J11" s="83">
        <f t="shared" si="5"/>
        <v>135</v>
      </c>
      <c r="K11" s="83">
        <f t="shared" si="6"/>
        <v>450</v>
      </c>
      <c r="L11" s="83">
        <f t="shared" si="7"/>
        <v>0</v>
      </c>
      <c r="M11" s="83">
        <f t="shared" si="8"/>
        <v>82.62</v>
      </c>
      <c r="N11" s="83">
        <f t="shared" si="9"/>
        <v>4.9572000000000003</v>
      </c>
      <c r="O11" s="83">
        <f t="shared" si="10"/>
        <v>94.9572</v>
      </c>
    </row>
    <row r="12" spans="1:15" x14ac:dyDescent="0.25">
      <c r="A12" s="71" t="str">
        <f>'Απόδοση Εγκατάστασης'!$A$12</f>
        <v>May</v>
      </c>
      <c r="B12" s="72">
        <f>'Απόδοση Εγκατάστασης'!$B$12</f>
        <v>150.1</v>
      </c>
      <c r="C12" s="72">
        <f t="shared" si="0"/>
        <v>594.39599999999996</v>
      </c>
      <c r="D12" s="81">
        <f>ι_Μοντέλο_Ελέγχου_α!$C$26</f>
        <v>400</v>
      </c>
      <c r="E12" s="82">
        <f>'Απόδοση Εγκατάστασης'!$E$12</f>
        <v>0.7</v>
      </c>
      <c r="F12" s="83">
        <f t="shared" si="1"/>
        <v>280</v>
      </c>
      <c r="G12" s="83">
        <f t="shared" si="2"/>
        <v>120</v>
      </c>
      <c r="H12" s="83">
        <f t="shared" si="3"/>
        <v>314.39599999999996</v>
      </c>
      <c r="I12" s="83">
        <f t="shared" si="4"/>
        <v>300</v>
      </c>
      <c r="J12" s="83">
        <f t="shared" si="5"/>
        <v>120</v>
      </c>
      <c r="K12" s="83">
        <f t="shared" si="6"/>
        <v>400</v>
      </c>
      <c r="L12" s="83">
        <f t="shared" si="7"/>
        <v>0</v>
      </c>
      <c r="M12" s="83">
        <f t="shared" si="8"/>
        <v>194.39599999999996</v>
      </c>
      <c r="N12" s="83">
        <f t="shared" si="9"/>
        <v>11.663759999999996</v>
      </c>
      <c r="O12" s="83">
        <f t="shared" si="10"/>
        <v>91.663759999999996</v>
      </c>
    </row>
    <row r="13" spans="1:15" x14ac:dyDescent="0.25">
      <c r="A13" s="71" t="str">
        <f>'Απόδοση Εγκατάστασης'!$A$13</f>
        <v>June</v>
      </c>
      <c r="B13" s="72">
        <f>'Απόδοση Εγκατάστασης'!$B$13</f>
        <v>156.1</v>
      </c>
      <c r="C13" s="72">
        <f t="shared" si="0"/>
        <v>618.15599999999995</v>
      </c>
      <c r="D13" s="81">
        <f>ι_Μοντέλο_Ελέγχου_α!$C$27</f>
        <v>450</v>
      </c>
      <c r="E13" s="82">
        <f>'Απόδοση Εγκατάστασης'!$E$13</f>
        <v>0.7</v>
      </c>
      <c r="F13" s="83">
        <f t="shared" si="1"/>
        <v>315</v>
      </c>
      <c r="G13" s="83">
        <f t="shared" si="2"/>
        <v>135</v>
      </c>
      <c r="H13" s="83">
        <f t="shared" si="3"/>
        <v>303.15599999999995</v>
      </c>
      <c r="I13" s="83">
        <f t="shared" si="4"/>
        <v>300</v>
      </c>
      <c r="J13" s="83">
        <f t="shared" si="5"/>
        <v>135</v>
      </c>
      <c r="K13" s="83">
        <f t="shared" si="6"/>
        <v>450</v>
      </c>
      <c r="L13" s="83">
        <f t="shared" si="7"/>
        <v>0</v>
      </c>
      <c r="M13" s="83">
        <f t="shared" si="8"/>
        <v>168.15599999999995</v>
      </c>
      <c r="N13" s="83">
        <f t="shared" si="9"/>
        <v>10.089359999999997</v>
      </c>
      <c r="O13" s="83">
        <f t="shared" si="10"/>
        <v>100.08936</v>
      </c>
    </row>
    <row r="14" spans="1:15" x14ac:dyDescent="0.25">
      <c r="A14" s="71" t="str">
        <f>'Απόδοση Εγκατάστασης'!$A$14</f>
        <v>July</v>
      </c>
      <c r="B14" s="72">
        <f>'Απόδοση Εγκατάστασης'!$B$14</f>
        <v>170.3</v>
      </c>
      <c r="C14" s="72">
        <f t="shared" si="0"/>
        <v>674.38800000000003</v>
      </c>
      <c r="D14" s="81">
        <f>ι_Μοντέλο_Ελέγχου_α!$C$28</f>
        <v>600</v>
      </c>
      <c r="E14" s="82">
        <f>'Απόδοση Εγκατάστασης'!$E$14</f>
        <v>0.7</v>
      </c>
      <c r="F14" s="83">
        <f t="shared" si="1"/>
        <v>420</v>
      </c>
      <c r="G14" s="83">
        <f t="shared" si="2"/>
        <v>180</v>
      </c>
      <c r="H14" s="83">
        <f t="shared" si="3"/>
        <v>254.38800000000003</v>
      </c>
      <c r="I14" s="83">
        <f t="shared" si="4"/>
        <v>300</v>
      </c>
      <c r="J14" s="83">
        <f t="shared" si="5"/>
        <v>180</v>
      </c>
      <c r="K14" s="83">
        <f t="shared" si="6"/>
        <v>600</v>
      </c>
      <c r="L14" s="83">
        <f t="shared" si="7"/>
        <v>0</v>
      </c>
      <c r="M14" s="83">
        <f t="shared" si="8"/>
        <v>74.388000000000034</v>
      </c>
      <c r="N14" s="83">
        <f t="shared" si="9"/>
        <v>4.4632800000000019</v>
      </c>
      <c r="O14" s="83">
        <f t="shared" si="10"/>
        <v>124.46328</v>
      </c>
    </row>
    <row r="15" spans="1:15" x14ac:dyDescent="0.25">
      <c r="A15" s="71" t="str">
        <f>'Απόδοση Εγκατάστασης'!$A$15</f>
        <v>August</v>
      </c>
      <c r="B15" s="72">
        <f>'Απόδοση Εγκατάστασης'!$B$15</f>
        <v>162</v>
      </c>
      <c r="C15" s="72">
        <f t="shared" si="0"/>
        <v>641.52</v>
      </c>
      <c r="D15" s="81">
        <f>ι_Μοντέλο_Ελέγχου_α!$C$29</f>
        <v>600</v>
      </c>
      <c r="E15" s="82">
        <f>'Απόδοση Εγκατάστασης'!$E$15</f>
        <v>0.7</v>
      </c>
      <c r="F15" s="83">
        <f t="shared" si="1"/>
        <v>420</v>
      </c>
      <c r="G15" s="83">
        <f t="shared" si="2"/>
        <v>180</v>
      </c>
      <c r="H15" s="83">
        <f t="shared" si="3"/>
        <v>221.51999999999998</v>
      </c>
      <c r="I15" s="83">
        <f t="shared" si="4"/>
        <v>300</v>
      </c>
      <c r="J15" s="83">
        <f t="shared" si="5"/>
        <v>180</v>
      </c>
      <c r="K15" s="83">
        <f t="shared" si="6"/>
        <v>600</v>
      </c>
      <c r="L15" s="83">
        <f t="shared" si="7"/>
        <v>0</v>
      </c>
      <c r="M15" s="83">
        <f t="shared" si="8"/>
        <v>41.519999999999982</v>
      </c>
      <c r="N15" s="83">
        <f t="shared" si="9"/>
        <v>2.4911999999999987</v>
      </c>
      <c r="O15" s="83">
        <f t="shared" si="10"/>
        <v>122.49119999999999</v>
      </c>
    </row>
    <row r="16" spans="1:15" x14ac:dyDescent="0.25">
      <c r="A16" s="71" t="str">
        <f>'Απόδοση Εγκατάστασης'!$A$16</f>
        <v>September</v>
      </c>
      <c r="B16" s="72">
        <f>'Απόδοση Εγκατάστασης'!$B$16</f>
        <v>129.9</v>
      </c>
      <c r="C16" s="72">
        <f t="shared" si="0"/>
        <v>514.404</v>
      </c>
      <c r="D16" s="81">
        <f>ι_Μοντέλο_Ελέγχου_α!$C$30</f>
        <v>400</v>
      </c>
      <c r="E16" s="82">
        <f>'Απόδοση Εγκατάστασης'!$E$16</f>
        <v>0.6</v>
      </c>
      <c r="F16" s="83">
        <f t="shared" si="1"/>
        <v>240</v>
      </c>
      <c r="G16" s="83">
        <f t="shared" si="2"/>
        <v>160</v>
      </c>
      <c r="H16" s="83">
        <f t="shared" si="3"/>
        <v>274.404</v>
      </c>
      <c r="I16" s="83">
        <f t="shared" si="4"/>
        <v>300</v>
      </c>
      <c r="J16" s="83">
        <f t="shared" si="5"/>
        <v>160</v>
      </c>
      <c r="K16" s="83">
        <f t="shared" si="6"/>
        <v>400</v>
      </c>
      <c r="L16" s="83">
        <f t="shared" si="7"/>
        <v>0</v>
      </c>
      <c r="M16" s="83">
        <f t="shared" si="8"/>
        <v>114.404</v>
      </c>
      <c r="N16" s="83">
        <f t="shared" si="9"/>
        <v>6.8642399999999997</v>
      </c>
      <c r="O16" s="83">
        <f t="shared" si="10"/>
        <v>86.864239999999995</v>
      </c>
    </row>
    <row r="17" spans="1:15" x14ac:dyDescent="0.25">
      <c r="A17" s="71" t="str">
        <f>'Απόδοση Εγκατάστασης'!$A$17</f>
        <v>October</v>
      </c>
      <c r="B17" s="72">
        <f>'Απόδοση Εγκατάστασης'!$B$17</f>
        <v>104</v>
      </c>
      <c r="C17" s="72">
        <f t="shared" si="0"/>
        <v>411.84</v>
      </c>
      <c r="D17" s="81">
        <f>ι_Μοντέλο_Ελέγχου_α!$C$31</f>
        <v>600</v>
      </c>
      <c r="E17" s="82">
        <f>'Απόδοση Εγκατάστασης'!$E$17</f>
        <v>0.55000000000000004</v>
      </c>
      <c r="F17" s="83">
        <f t="shared" si="1"/>
        <v>330</v>
      </c>
      <c r="G17" s="83">
        <f t="shared" si="2"/>
        <v>270</v>
      </c>
      <c r="H17" s="83">
        <f t="shared" si="3"/>
        <v>81.839999999999975</v>
      </c>
      <c r="I17" s="83">
        <f t="shared" si="4"/>
        <v>300</v>
      </c>
      <c r="J17" s="83">
        <f t="shared" si="5"/>
        <v>81.839999999999975</v>
      </c>
      <c r="K17" s="83">
        <f t="shared" si="6"/>
        <v>411.84</v>
      </c>
      <c r="L17" s="83">
        <f t="shared" si="7"/>
        <v>188.16000000000003</v>
      </c>
      <c r="M17" s="83">
        <f t="shared" si="8"/>
        <v>0</v>
      </c>
      <c r="N17" s="83">
        <f t="shared" si="9"/>
        <v>0</v>
      </c>
      <c r="O17" s="83">
        <f t="shared" si="10"/>
        <v>82.367999999999995</v>
      </c>
    </row>
    <row r="18" spans="1:15" x14ac:dyDescent="0.25">
      <c r="A18" s="71" t="str">
        <f>'Απόδοση Εγκατάστασης'!$A$18</f>
        <v>November</v>
      </c>
      <c r="B18" s="72">
        <f>'Απόδοση Εγκατάστασης'!$B$18</f>
        <v>77.400000000000006</v>
      </c>
      <c r="C18" s="72">
        <f t="shared" si="0"/>
        <v>306.50400000000002</v>
      </c>
      <c r="D18" s="81">
        <f>ι_Μοντέλο_Ελέγχου_α!$C$32</f>
        <v>800</v>
      </c>
      <c r="E18" s="82">
        <f>'Απόδοση Εγκατάστασης'!$E$18</f>
        <v>0.5</v>
      </c>
      <c r="F18" s="83">
        <f t="shared" si="1"/>
        <v>306.50400000000002</v>
      </c>
      <c r="G18" s="83">
        <f t="shared" si="2"/>
        <v>493.49599999999998</v>
      </c>
      <c r="H18" s="83">
        <f t="shared" si="3"/>
        <v>0</v>
      </c>
      <c r="I18" s="83">
        <f t="shared" si="4"/>
        <v>300</v>
      </c>
      <c r="J18" s="83">
        <f t="shared" si="5"/>
        <v>0</v>
      </c>
      <c r="K18" s="83">
        <f t="shared" si="6"/>
        <v>306.50400000000002</v>
      </c>
      <c r="L18" s="83">
        <f t="shared" si="7"/>
        <v>493.49599999999998</v>
      </c>
      <c r="M18" s="83">
        <f t="shared" si="8"/>
        <v>0</v>
      </c>
      <c r="N18" s="83">
        <f t="shared" si="9"/>
        <v>0</v>
      </c>
      <c r="O18" s="83">
        <f t="shared" si="10"/>
        <v>61.30080000000001</v>
      </c>
    </row>
    <row r="19" spans="1:15" x14ac:dyDescent="0.25">
      <c r="A19" s="71" t="str">
        <f>'Απόδοση Εγκατάστασης'!$A$19</f>
        <v>December</v>
      </c>
      <c r="B19" s="72">
        <f>'Απόδοση Εγκατάστασης'!$B$19</f>
        <v>73.3</v>
      </c>
      <c r="C19" s="72">
        <f t="shared" si="0"/>
        <v>290.26799999999997</v>
      </c>
      <c r="D19" s="81">
        <f>ι_Μοντέλο_Ελέγχου_α!$C$33</f>
        <v>800</v>
      </c>
      <c r="E19" s="82">
        <f>'Απόδοση Εγκατάστασης'!$E$19</f>
        <v>0.4</v>
      </c>
      <c r="F19" s="83">
        <f t="shared" si="1"/>
        <v>290.26799999999997</v>
      </c>
      <c r="G19" s="83">
        <f t="shared" si="2"/>
        <v>509.73200000000003</v>
      </c>
      <c r="H19" s="83">
        <f t="shared" si="3"/>
        <v>0</v>
      </c>
      <c r="I19" s="83">
        <f t="shared" si="4"/>
        <v>300</v>
      </c>
      <c r="J19" s="83">
        <f t="shared" si="5"/>
        <v>0</v>
      </c>
      <c r="K19" s="83">
        <f t="shared" si="6"/>
        <v>290.26799999999997</v>
      </c>
      <c r="L19" s="83">
        <f t="shared" si="7"/>
        <v>509.73200000000003</v>
      </c>
      <c r="M19" s="83">
        <f t="shared" si="8"/>
        <v>0</v>
      </c>
      <c r="N19" s="83">
        <f t="shared" si="9"/>
        <v>0</v>
      </c>
      <c r="O19" s="83">
        <f t="shared" si="10"/>
        <v>58.053599999999996</v>
      </c>
    </row>
    <row r="20" spans="1:15" x14ac:dyDescent="0.25">
      <c r="A20" s="9"/>
      <c r="B20" s="58"/>
      <c r="C20" s="58"/>
      <c r="D20" s="58"/>
      <c r="E20" s="63"/>
      <c r="F20" s="58"/>
      <c r="G20" s="58"/>
      <c r="H20" s="58"/>
      <c r="I20" s="58"/>
      <c r="J20" s="58"/>
      <c r="K20" s="58"/>
      <c r="L20" s="58"/>
      <c r="M20" s="58"/>
      <c r="N20" s="58"/>
      <c r="O20" s="58"/>
    </row>
    <row r="21" spans="1:15" ht="31.5" customHeight="1" x14ac:dyDescent="0.25">
      <c r="A21" s="84" t="s">
        <v>235</v>
      </c>
      <c r="B21" s="85">
        <f>SUM(B8:B19)</f>
        <v>1445.1000000000001</v>
      </c>
      <c r="C21" s="86">
        <f>SUM(C8:C19)</f>
        <v>5722.5960000000005</v>
      </c>
      <c r="D21" s="87">
        <f>SUM(D8:D19)</f>
        <v>7500</v>
      </c>
      <c r="E21" s="88">
        <f>AVERAGE(E8:E19)</f>
        <v>0.58750000000000002</v>
      </c>
      <c r="F21" s="87">
        <f>SUM(F8:F19)</f>
        <v>4046.5919999999996</v>
      </c>
      <c r="G21" s="87">
        <f>SUM(G8:G19)</f>
        <v>3453.4080000000004</v>
      </c>
      <c r="H21" s="87">
        <f>SUM(H8:H19)</f>
        <v>1676.0039999999997</v>
      </c>
      <c r="I21" s="87">
        <f>$O$3</f>
        <v>300</v>
      </c>
      <c r="J21" s="87">
        <f t="shared" ref="J21:O21" si="11">SUM(J8:J19)</f>
        <v>1000.52</v>
      </c>
      <c r="K21" s="87">
        <f t="shared" si="11"/>
        <v>5047.1120000000001</v>
      </c>
      <c r="L21" s="87">
        <f t="shared" si="11"/>
        <v>2452.8879999999999</v>
      </c>
      <c r="M21" s="87">
        <f t="shared" si="11"/>
        <v>675.48399999999992</v>
      </c>
      <c r="N21" s="87">
        <f t="shared" si="11"/>
        <v>40.529039999999995</v>
      </c>
      <c r="O21" s="87">
        <f t="shared" si="11"/>
        <v>1049.9514399999998</v>
      </c>
    </row>
    <row r="22" spans="1:1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31.5" customHeight="1" x14ac:dyDescent="0.25">
      <c r="A23" s="84" t="s">
        <v>236</v>
      </c>
      <c r="B23" s="89">
        <f>ιγ_Αποτελέσματα_Σεναρίων!$D$7</f>
        <v>4800</v>
      </c>
      <c r="C23" s="86" t="s">
        <v>237</v>
      </c>
      <c r="D23" s="90">
        <f>ιγ_Αποτελέσματα_Σεναρίων!$G$7</f>
        <v>5476.8</v>
      </c>
      <c r="E23" s="87" t="s">
        <v>238</v>
      </c>
      <c r="F23" s="90">
        <f>ιγ_Αποτελέσματα_Σεναρίων!$I$7</f>
        <v>676.79999999999927</v>
      </c>
      <c r="G23" s="87" t="s">
        <v>48</v>
      </c>
      <c r="H23" s="90">
        <f>ιγ_Αποτελέσματα_Σεναρίων!$S$7</f>
        <v>-563.46035999999992</v>
      </c>
      <c r="I23" s="87" t="s">
        <v>51</v>
      </c>
      <c r="J23" s="90">
        <f>ιγ_Αποτελέσματα_Σεναρίων!$U$7</f>
        <v>12047.481238218974</v>
      </c>
      <c r="K23" s="87" t="s">
        <v>21</v>
      </c>
      <c r="L23" s="91">
        <f>ιγ_Αποτελέσματα_Σεναρίων!$V$7</f>
        <v>0.11629837191441743</v>
      </c>
      <c r="M23" s="87" t="s">
        <v>23</v>
      </c>
      <c r="N23" s="92">
        <f>ιγ_Αποτελέσματα_Σεναρίων!$X$7</f>
        <v>8.8648319850165311</v>
      </c>
      <c r="O23" s="87"/>
    </row>
  </sheetData>
  <sheetProtection sheet="1" objects="1" scenarios="1"/>
  <mergeCells count="10">
    <mergeCell ref="K4:N4"/>
    <mergeCell ref="A2:I2"/>
    <mergeCell ref="K3:N3"/>
    <mergeCell ref="B5:C5"/>
    <mergeCell ref="A1:O1"/>
    <mergeCell ref="A3:I3"/>
    <mergeCell ref="K2:N2"/>
    <mergeCell ref="K5:O5"/>
    <mergeCell ref="A4:I4"/>
    <mergeCell ref="D5:J5"/>
  </mergeCells>
  <pageMargins left="0.75" right="0.75" top="1" bottom="1" header="0.5" footer="0.5"/>
  <pageSetup paperSize="9" fitToHeight="0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D6EA9-6300-4B21-9896-D7A8FE75FED4}">
  <sheetPr codeName="Sheet26">
    <pageSetUpPr fitToPage="1"/>
  </sheetPr>
  <dimension ref="A1:J17"/>
  <sheetViews>
    <sheetView topLeftCell="A18" workbookViewId="0">
      <selection activeCell="A4" sqref="A4:G17"/>
    </sheetView>
  </sheetViews>
  <sheetFormatPr defaultRowHeight="15" x14ac:dyDescent="0.25"/>
  <cols>
    <col min="1" max="1" width="12.7109375" customWidth="1"/>
    <col min="2" max="3" width="14.7109375" customWidth="1"/>
    <col min="4" max="4" width="19.7109375" customWidth="1"/>
    <col min="5" max="6" width="18.7109375" customWidth="1"/>
    <col min="7" max="7" width="14.7109375" customWidth="1"/>
    <col min="9" max="9" width="26.7109375" customWidth="1"/>
    <col min="10" max="10" width="17.7109375" customWidth="1"/>
  </cols>
  <sheetData>
    <row r="1" spans="1:10" x14ac:dyDescent="0.25">
      <c r="A1" s="287" t="s">
        <v>482</v>
      </c>
      <c r="B1" s="276"/>
      <c r="C1" s="276"/>
      <c r="D1" s="276"/>
      <c r="E1" s="276"/>
      <c r="F1" s="276"/>
      <c r="G1" s="276"/>
      <c r="H1" s="9"/>
      <c r="I1" s="9"/>
      <c r="J1" s="9"/>
    </row>
    <row r="2" spans="1:10" ht="36" customHeight="1" x14ac:dyDescent="0.25">
      <c r="A2" s="288" t="s">
        <v>483</v>
      </c>
      <c r="B2" s="276"/>
      <c r="C2" s="276"/>
      <c r="D2" s="276"/>
      <c r="E2" s="276"/>
      <c r="F2" s="276"/>
      <c r="G2" s="276"/>
      <c r="H2" s="9"/>
      <c r="I2" s="9"/>
      <c r="J2" s="9"/>
    </row>
    <row r="3" spans="1:10" x14ac:dyDescent="0.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10" ht="38.25" x14ac:dyDescent="0.25">
      <c r="A4" s="44" t="s">
        <v>45</v>
      </c>
      <c r="B4" s="44" t="s">
        <v>474</v>
      </c>
      <c r="C4" s="44" t="s">
        <v>182</v>
      </c>
      <c r="D4" s="44" t="s">
        <v>11</v>
      </c>
      <c r="E4" s="44" t="s">
        <v>12</v>
      </c>
      <c r="F4" s="44" t="str">
        <f>μ_Απόδ_Μπαταρία_7_5!M7</f>
        <v>Υπολειπόμενες / Περίσσεια (kWh)</v>
      </c>
      <c r="G4" s="44" t="s">
        <v>475</v>
      </c>
      <c r="H4" s="9"/>
      <c r="I4" s="289" t="s">
        <v>88</v>
      </c>
      <c r="J4" s="276"/>
    </row>
    <row r="5" spans="1:10" x14ac:dyDescent="0.25">
      <c r="A5" s="45" t="str">
        <f>μ_Απόδ_Μπαταρία_7_5!A8</f>
        <v>January</v>
      </c>
      <c r="B5" s="46">
        <f>μ_Απόδ_Μπαταρία_7_5!C8</f>
        <v>328.68</v>
      </c>
      <c r="C5" s="46">
        <f>μ_Απόδ_Μπαταρία_7_5!D8</f>
        <v>800</v>
      </c>
      <c r="D5" s="46">
        <f>μ_Απόδ_Μπαταρία_7_5!J8</f>
        <v>8.6800000000000068</v>
      </c>
      <c r="E5" s="46">
        <f>μ_Απόδ_Μπαταρία_7_5!K8</f>
        <v>328.68</v>
      </c>
      <c r="F5" s="46">
        <f>μ_Απόδ_Μπαταρία_7_5!M8</f>
        <v>0</v>
      </c>
      <c r="G5" s="47">
        <f>μ_Απόδ_Μπαταρία_7_5!O8</f>
        <v>65.736000000000004</v>
      </c>
      <c r="H5" s="9"/>
      <c r="I5" s="45" t="s">
        <v>0</v>
      </c>
      <c r="J5" s="45" t="str">
        <f>μ_Απόδ_Μπαταρία_7_5!O2</f>
        <v>Μπαταρία 7.5 kWh</v>
      </c>
    </row>
    <row r="6" spans="1:10" x14ac:dyDescent="0.25">
      <c r="A6" s="45" t="str">
        <f>μ_Απόδ_Μπαταρία_7_5!A9</f>
        <v>February</v>
      </c>
      <c r="B6" s="46">
        <f>μ_Απόδ_Μπαταρία_7_5!C9</f>
        <v>344.916</v>
      </c>
      <c r="C6" s="46">
        <f>μ_Απόδ_Μπαταρία_7_5!D9</f>
        <v>800</v>
      </c>
      <c r="D6" s="46">
        <f>μ_Απόδ_Μπαταρία_7_5!J9</f>
        <v>0</v>
      </c>
      <c r="E6" s="46">
        <f>μ_Απόδ_Μπαταρία_7_5!K9</f>
        <v>344.916</v>
      </c>
      <c r="F6" s="46">
        <f>μ_Απόδ_Μπαταρία_7_5!M9</f>
        <v>0</v>
      </c>
      <c r="G6" s="47">
        <f>μ_Απόδ_Μπαταρία_7_5!O9</f>
        <v>68.983199999999997</v>
      </c>
      <c r="H6" s="9"/>
      <c r="I6" s="45" t="s">
        <v>477</v>
      </c>
      <c r="J6" s="46">
        <f>μ_Απόδ_Μπαταρία_7_5!O3</f>
        <v>225</v>
      </c>
    </row>
    <row r="7" spans="1:10" x14ac:dyDescent="0.25">
      <c r="A7" s="45" t="str">
        <f>μ_Απόδ_Μπαταρία_7_5!A10</f>
        <v>March</v>
      </c>
      <c r="B7" s="46">
        <f>μ_Απόδ_Μπαταρία_7_5!C10</f>
        <v>464.904</v>
      </c>
      <c r="C7" s="46">
        <f>μ_Απόδ_Μπαταρία_7_5!D10</f>
        <v>800</v>
      </c>
      <c r="D7" s="46">
        <f>μ_Απόδ_Μπαταρία_7_5!J10</f>
        <v>0</v>
      </c>
      <c r="E7" s="46">
        <f>μ_Απόδ_Μπαταρία_7_5!K10</f>
        <v>464.904</v>
      </c>
      <c r="F7" s="46">
        <f>μ_Απόδ_Μπαταρία_7_5!M10</f>
        <v>0</v>
      </c>
      <c r="G7" s="47">
        <f>μ_Απόδ_Μπαταρία_7_5!O10</f>
        <v>92.980800000000002</v>
      </c>
      <c r="H7" s="9"/>
      <c r="I7" s="45" t="s">
        <v>4</v>
      </c>
      <c r="J7" s="46">
        <f>μ_Απόδ_Μπαταρία_7_5!J4/1000</f>
        <v>3.96</v>
      </c>
    </row>
    <row r="8" spans="1:10" x14ac:dyDescent="0.25">
      <c r="A8" s="45" t="str">
        <f>μ_Απόδ_Μπαταρία_7_5!A11</f>
        <v>April</v>
      </c>
      <c r="B8" s="46">
        <f>μ_Απόδ_Μπαταρία_7_5!C11</f>
        <v>532.62</v>
      </c>
      <c r="C8" s="46">
        <f>μ_Απόδ_Μπαταρία_7_5!D11</f>
        <v>450</v>
      </c>
      <c r="D8" s="46">
        <f>μ_Απόδ_Μπαταρία_7_5!J11</f>
        <v>135</v>
      </c>
      <c r="E8" s="46">
        <f>μ_Απόδ_Μπαταρία_7_5!K11</f>
        <v>450</v>
      </c>
      <c r="F8" s="46">
        <f>μ_Απόδ_Μπαταρία_7_5!M11</f>
        <v>82.62</v>
      </c>
      <c r="G8" s="47">
        <f>μ_Απόδ_Μπαταρία_7_5!O11</f>
        <v>94.9572</v>
      </c>
      <c r="H8" s="9"/>
      <c r="I8" s="45" t="s">
        <v>7</v>
      </c>
      <c r="J8" s="47">
        <f>μ_Απόδ_Μπαταρία_7_5!O4</f>
        <v>7251.2</v>
      </c>
    </row>
    <row r="9" spans="1:10" x14ac:dyDescent="0.25">
      <c r="A9" s="45" t="str">
        <f>μ_Απόδ_Μπαταρία_7_5!A12</f>
        <v>May</v>
      </c>
      <c r="B9" s="46">
        <f>μ_Απόδ_Μπαταρία_7_5!C12</f>
        <v>594.39599999999996</v>
      </c>
      <c r="C9" s="46">
        <f>μ_Απόδ_Μπαταρία_7_5!D12</f>
        <v>400</v>
      </c>
      <c r="D9" s="46">
        <f>μ_Απόδ_Μπαταρία_7_5!J12</f>
        <v>120</v>
      </c>
      <c r="E9" s="46">
        <f>μ_Απόδ_Μπαταρία_7_5!K12</f>
        <v>400</v>
      </c>
      <c r="F9" s="46">
        <f>μ_Απόδ_Μπαταρία_7_5!M12</f>
        <v>194.39599999999996</v>
      </c>
      <c r="G9" s="47">
        <f>μ_Απόδ_Μπαταρία_7_5!O12</f>
        <v>91.663759999999996</v>
      </c>
      <c r="H9" s="9"/>
      <c r="I9" s="45" t="s">
        <v>3</v>
      </c>
      <c r="J9" s="47">
        <f>μ_Απόδ_Μπαταρία_7_5!B23</f>
        <v>3600</v>
      </c>
    </row>
    <row r="10" spans="1:10" x14ac:dyDescent="0.25">
      <c r="A10" s="45" t="str">
        <f>μ_Απόδ_Μπαταρία_7_5!A13</f>
        <v>June</v>
      </c>
      <c r="B10" s="46">
        <f>μ_Απόδ_Μπαταρία_7_5!C13</f>
        <v>618.15599999999995</v>
      </c>
      <c r="C10" s="46">
        <f>μ_Απόδ_Μπαταρία_7_5!D13</f>
        <v>450</v>
      </c>
      <c r="D10" s="46">
        <f>μ_Απόδ_Μπαταρία_7_5!J13</f>
        <v>135</v>
      </c>
      <c r="E10" s="46">
        <f>μ_Απόδ_Μπαταρία_7_5!K13</f>
        <v>450</v>
      </c>
      <c r="F10" s="46">
        <f>μ_Απόδ_Μπαταρία_7_5!M13</f>
        <v>168.15599999999995</v>
      </c>
      <c r="G10" s="47">
        <f>μ_Απόδ_Μπαταρία_7_5!O13</f>
        <v>100.08936</v>
      </c>
      <c r="H10" s="9"/>
      <c r="I10" s="45" t="s">
        <v>20</v>
      </c>
      <c r="J10" s="47">
        <f>μ_Απόδ_Μπαταρία_7_5!J23</f>
        <v>13247.481238218974</v>
      </c>
    </row>
    <row r="11" spans="1:10" x14ac:dyDescent="0.25">
      <c r="A11" s="45" t="str">
        <f>μ_Απόδ_Μπαταρία_7_5!A14</f>
        <v>July</v>
      </c>
      <c r="B11" s="46">
        <f>μ_Απόδ_Μπαταρία_7_5!C14</f>
        <v>674.38800000000003</v>
      </c>
      <c r="C11" s="46">
        <f>μ_Απόδ_Μπαταρία_7_5!D14</f>
        <v>600</v>
      </c>
      <c r="D11" s="46">
        <f>μ_Απόδ_Μπαταρία_7_5!J14</f>
        <v>180</v>
      </c>
      <c r="E11" s="46">
        <f>μ_Απόδ_Μπαταρία_7_5!K14</f>
        <v>600</v>
      </c>
      <c r="F11" s="46">
        <f>μ_Απόδ_Μπαταρία_7_5!M14</f>
        <v>74.388000000000034</v>
      </c>
      <c r="G11" s="47">
        <f>μ_Απόδ_Μπαταρία_7_5!O14</f>
        <v>124.46328</v>
      </c>
      <c r="H11" s="9"/>
      <c r="I11" s="45" t="s">
        <v>21</v>
      </c>
      <c r="J11" s="48">
        <f>μ_Απόδ_Μπαταρία_7_5!L23</f>
        <v>0.13923206025631371</v>
      </c>
    </row>
    <row r="12" spans="1:10" x14ac:dyDescent="0.25">
      <c r="A12" s="45" t="str">
        <f>μ_Απόδ_Μπαταρία_7_5!A15</f>
        <v>August</v>
      </c>
      <c r="B12" s="46">
        <f>μ_Απόδ_Μπαταρία_7_5!C15</f>
        <v>641.52</v>
      </c>
      <c r="C12" s="46">
        <f>μ_Απόδ_Μπαταρία_7_5!D15</f>
        <v>600</v>
      </c>
      <c r="D12" s="46">
        <f>μ_Απόδ_Μπαταρία_7_5!J15</f>
        <v>180</v>
      </c>
      <c r="E12" s="46">
        <f>μ_Απόδ_Μπαταρία_7_5!K15</f>
        <v>600</v>
      </c>
      <c r="F12" s="46">
        <f>μ_Απόδ_Μπαταρία_7_5!M15</f>
        <v>41.519999999999982</v>
      </c>
      <c r="G12" s="47">
        <f>μ_Απόδ_Μπαταρία_7_5!O15</f>
        <v>122.49119999999999</v>
      </c>
      <c r="H12" s="9"/>
      <c r="I12" s="45" t="s">
        <v>23</v>
      </c>
      <c r="J12" s="49">
        <f>μ_Απόδ_Μπαταρία_7_5!N23</f>
        <v>7.5087732722970095</v>
      </c>
    </row>
    <row r="13" spans="1:10" x14ac:dyDescent="0.25">
      <c r="A13" s="45" t="str">
        <f>μ_Απόδ_Μπαταρία_7_5!A16</f>
        <v>September</v>
      </c>
      <c r="B13" s="46">
        <f>μ_Απόδ_Μπαταρία_7_5!C16</f>
        <v>514.404</v>
      </c>
      <c r="C13" s="46">
        <f>μ_Απόδ_Μπαταρία_7_5!D16</f>
        <v>400</v>
      </c>
      <c r="D13" s="46">
        <f>μ_Απόδ_Μπαταρία_7_5!J16</f>
        <v>160</v>
      </c>
      <c r="E13" s="46">
        <f>μ_Απόδ_Μπαταρία_7_5!K16</f>
        <v>400</v>
      </c>
      <c r="F13" s="46">
        <f>μ_Απόδ_Μπαταρία_7_5!M16</f>
        <v>114.404</v>
      </c>
      <c r="G13" s="47">
        <f>μ_Απόδ_Μπαταρία_7_5!O16</f>
        <v>86.864239999999995</v>
      </c>
      <c r="H13" s="9"/>
      <c r="I13" s="45" t="s">
        <v>19</v>
      </c>
      <c r="J13" s="47">
        <f>μ_Απόδ_Μπαταρία_7_5!O21</f>
        <v>1049.9514399999998</v>
      </c>
    </row>
    <row r="14" spans="1:10" x14ac:dyDescent="0.25">
      <c r="A14" s="45" t="str">
        <f>μ_Απόδ_Μπαταρία_7_5!A17</f>
        <v>October</v>
      </c>
      <c r="B14" s="46">
        <f>μ_Απόδ_Μπαταρία_7_5!C17</f>
        <v>411.84</v>
      </c>
      <c r="C14" s="46">
        <f>μ_Απόδ_Μπαταρία_7_5!D17</f>
        <v>600</v>
      </c>
      <c r="D14" s="46">
        <f>μ_Απόδ_Μπαταρία_7_5!J17</f>
        <v>81.839999999999975</v>
      </c>
      <c r="E14" s="46">
        <f>μ_Απόδ_Μπαταρία_7_5!K17</f>
        <v>411.84</v>
      </c>
      <c r="F14" s="46">
        <f>μ_Απόδ_Μπαταρία_7_5!M17</f>
        <v>0</v>
      </c>
      <c r="G14" s="47">
        <f>μ_Απόδ_Μπαταρία_7_5!O17</f>
        <v>82.367999999999995</v>
      </c>
      <c r="H14" s="9"/>
      <c r="I14" s="9"/>
      <c r="J14" s="9"/>
    </row>
    <row r="15" spans="1:10" x14ac:dyDescent="0.25">
      <c r="A15" s="45" t="str">
        <f>μ_Απόδ_Μπαταρία_7_5!A18</f>
        <v>November</v>
      </c>
      <c r="B15" s="46">
        <f>μ_Απόδ_Μπαταρία_7_5!C18</f>
        <v>306.50400000000002</v>
      </c>
      <c r="C15" s="46">
        <f>μ_Απόδ_Μπαταρία_7_5!D18</f>
        <v>800</v>
      </c>
      <c r="D15" s="46">
        <f>μ_Απόδ_Μπαταρία_7_5!J18</f>
        <v>0</v>
      </c>
      <c r="E15" s="46">
        <f>μ_Απόδ_Μπαταρία_7_5!K18</f>
        <v>306.50400000000002</v>
      </c>
      <c r="F15" s="46">
        <f>μ_Απόδ_Μπαταρία_7_5!M18</f>
        <v>0</v>
      </c>
      <c r="G15" s="47">
        <f>μ_Απόδ_Μπαταρία_7_5!O18</f>
        <v>61.30080000000001</v>
      </c>
      <c r="H15" s="9"/>
      <c r="I15" s="9"/>
      <c r="J15" s="9"/>
    </row>
    <row r="16" spans="1:10" x14ac:dyDescent="0.25">
      <c r="A16" s="45" t="str">
        <f>μ_Απόδ_Μπαταρία_7_5!A19</f>
        <v>December</v>
      </c>
      <c r="B16" s="46">
        <f>μ_Απόδ_Μπαταρία_7_5!C19</f>
        <v>290.26799999999997</v>
      </c>
      <c r="C16" s="46">
        <f>μ_Απόδ_Μπαταρία_7_5!D19</f>
        <v>800</v>
      </c>
      <c r="D16" s="46">
        <f>μ_Απόδ_Μπαταρία_7_5!J19</f>
        <v>0</v>
      </c>
      <c r="E16" s="46">
        <f>μ_Απόδ_Μπαταρία_7_5!K19</f>
        <v>290.26799999999997</v>
      </c>
      <c r="F16" s="46">
        <f>μ_Απόδ_Μπαταρία_7_5!M19</f>
        <v>0</v>
      </c>
      <c r="G16" s="47">
        <f>μ_Απόδ_Μπαταρία_7_5!O19</f>
        <v>58.053599999999996</v>
      </c>
      <c r="H16" s="9"/>
      <c r="I16" s="9"/>
      <c r="J16" s="9"/>
    </row>
    <row r="17" spans="1:10" ht="25.5" x14ac:dyDescent="0.25">
      <c r="A17" s="50" t="s">
        <v>476</v>
      </c>
      <c r="B17" s="51">
        <f>μ_Απόδ_Μπαταρία_7_5!C21</f>
        <v>5722.5960000000005</v>
      </c>
      <c r="C17" s="51">
        <f>μ_Απόδ_Μπαταρία_7_5!D21</f>
        <v>7500</v>
      </c>
      <c r="D17" s="51">
        <f>μ_Απόδ_Μπαταρία_7_5!J21</f>
        <v>1000.52</v>
      </c>
      <c r="E17" s="51">
        <f>μ_Απόδ_Μπαταρία_7_5!K21</f>
        <v>5047.1120000000001</v>
      </c>
      <c r="F17" s="51">
        <f>μ_Απόδ_Μπαταρία_7_5!M21</f>
        <v>675.48399999999992</v>
      </c>
      <c r="G17" s="52">
        <f>μ_Απόδ_Μπαταρία_7_5!O21</f>
        <v>1049.9514399999998</v>
      </c>
      <c r="H17" s="9"/>
      <c r="I17" s="9"/>
      <c r="J17" s="9"/>
    </row>
  </sheetData>
  <sheetProtection sheet="1" objects="1" scenarios="1"/>
  <mergeCells count="3">
    <mergeCell ref="A1:G1"/>
    <mergeCell ref="A2:G2"/>
    <mergeCell ref="I4:J4"/>
  </mergeCells>
  <pageMargins left="0.7" right="0.7" top="0.75" bottom="0.75" header="0.3" footer="0.3"/>
  <pageSetup paperSize="9" fitToHeight="0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2">
    <pageSetUpPr fitToPage="1"/>
  </sheetPr>
  <dimension ref="A1:O23"/>
  <sheetViews>
    <sheetView showGridLines="0" zoomScaleNormal="100" workbookViewId="0">
      <selection activeCell="O17" sqref="O17"/>
    </sheetView>
  </sheetViews>
  <sheetFormatPr defaultRowHeight="15" x14ac:dyDescent="0.25"/>
  <cols>
    <col min="1" max="1" width="13.28515625" customWidth="1"/>
    <col min="2" max="2" width="10.7109375" bestFit="1" customWidth="1"/>
    <col min="3" max="3" width="16.28515625" bestFit="1" customWidth="1"/>
    <col min="4" max="4" width="13.140625" customWidth="1"/>
    <col min="5" max="5" width="19.5703125" bestFit="1" customWidth="1"/>
    <col min="6" max="6" width="15.28515625" customWidth="1"/>
    <col min="7" max="7" width="23.140625" bestFit="1" customWidth="1"/>
    <col min="8" max="8" width="14.7109375" customWidth="1"/>
    <col min="9" max="9" width="13.28515625" customWidth="1"/>
    <col min="10" max="10" width="13.42578125" bestFit="1" customWidth="1"/>
    <col min="11" max="12" width="14" customWidth="1"/>
    <col min="13" max="13" width="14.42578125" customWidth="1"/>
    <col min="14" max="14" width="15" customWidth="1"/>
    <col min="15" max="15" width="16.5703125" bestFit="1" customWidth="1"/>
  </cols>
  <sheetData>
    <row r="1" spans="1:15" ht="26.25" customHeight="1" x14ac:dyDescent="0.25">
      <c r="A1" s="294" t="s">
        <v>239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2"/>
    </row>
    <row r="2" spans="1:15" ht="18.75" customHeight="1" x14ac:dyDescent="0.25">
      <c r="A2" s="290" t="s">
        <v>214</v>
      </c>
      <c r="B2" s="291"/>
      <c r="C2" s="291"/>
      <c r="D2" s="291"/>
      <c r="E2" s="291"/>
      <c r="F2" s="291"/>
      <c r="G2" s="291"/>
      <c r="H2" s="291"/>
      <c r="I2" s="292"/>
      <c r="J2" s="74">
        <f>ι_Μοντέλο_Ελέγχου_α!$B$8</f>
        <v>0.2</v>
      </c>
      <c r="K2" s="290" t="s">
        <v>211</v>
      </c>
      <c r="L2" s="291"/>
      <c r="M2" s="291"/>
      <c r="N2" s="292"/>
      <c r="O2" s="93" t="str">
        <f>ιγ_Αποτελέσματα_Σεναρίων!$A$6</f>
        <v>Μπαταρία 7.5 kWh</v>
      </c>
    </row>
    <row r="3" spans="1:15" ht="18.75" customHeight="1" x14ac:dyDescent="0.25">
      <c r="A3" s="290" t="s">
        <v>215</v>
      </c>
      <c r="B3" s="291"/>
      <c r="C3" s="291"/>
      <c r="D3" s="291"/>
      <c r="E3" s="291"/>
      <c r="F3" s="291"/>
      <c r="G3" s="291"/>
      <c r="H3" s="291"/>
      <c r="I3" s="292"/>
      <c r="J3" s="74">
        <f>ι_Μοντέλο_Ελέγχου_α!$B$9</f>
        <v>0.06</v>
      </c>
      <c r="K3" s="290" t="s">
        <v>216</v>
      </c>
      <c r="L3" s="291"/>
      <c r="M3" s="291"/>
      <c r="N3" s="292"/>
      <c r="O3" s="94">
        <f>ιγ_Αποτελέσματα_Σεναρίων!$C$6</f>
        <v>225</v>
      </c>
    </row>
    <row r="4" spans="1:15" ht="18.75" customHeight="1" x14ac:dyDescent="0.25">
      <c r="A4" s="290" t="s">
        <v>240</v>
      </c>
      <c r="B4" s="291"/>
      <c r="C4" s="291"/>
      <c r="D4" s="291"/>
      <c r="E4" s="291"/>
      <c r="F4" s="291"/>
      <c r="G4" s="291"/>
      <c r="H4" s="291"/>
      <c r="I4" s="292"/>
      <c r="J4" s="77">
        <f>ιγ_Αποτελέσματα_Σεναρίων!$E$6*1000</f>
        <v>3960</v>
      </c>
      <c r="K4" s="290" t="s">
        <v>218</v>
      </c>
      <c r="L4" s="291"/>
      <c r="M4" s="291"/>
      <c r="N4" s="292"/>
      <c r="O4" s="95">
        <f>ιγ_Αποτελέσματα_Σεναρίων!$H$6</f>
        <v>7251.2</v>
      </c>
    </row>
    <row r="5" spans="1:15" ht="31.5" customHeight="1" x14ac:dyDescent="0.25">
      <c r="A5" s="73"/>
      <c r="B5" s="293" t="s">
        <v>219</v>
      </c>
      <c r="C5" s="292"/>
      <c r="D5" s="295" t="s">
        <v>241</v>
      </c>
      <c r="E5" s="291"/>
      <c r="F5" s="291"/>
      <c r="G5" s="291"/>
      <c r="H5" s="291"/>
      <c r="I5" s="291"/>
      <c r="J5" s="292"/>
      <c r="K5" s="295" t="s">
        <v>221</v>
      </c>
      <c r="L5" s="291"/>
      <c r="M5" s="291"/>
      <c r="N5" s="291"/>
      <c r="O5" s="292"/>
    </row>
    <row r="6" spans="1:15" ht="30" customHeight="1" x14ac:dyDescent="0.25">
      <c r="A6" s="79">
        <v>1</v>
      </c>
      <c r="B6" s="67">
        <v>2</v>
      </c>
      <c r="C6" s="67">
        <v>3</v>
      </c>
      <c r="D6" s="80">
        <v>4</v>
      </c>
      <c r="E6" s="80">
        <v>5</v>
      </c>
      <c r="F6" s="80">
        <v>6</v>
      </c>
      <c r="G6" s="80">
        <v>7</v>
      </c>
      <c r="H6" s="80">
        <v>8</v>
      </c>
      <c r="I6" s="80">
        <v>9</v>
      </c>
      <c r="J6" s="80">
        <v>10</v>
      </c>
      <c r="K6" s="80">
        <v>11</v>
      </c>
      <c r="L6" s="80">
        <v>12</v>
      </c>
      <c r="M6" s="80">
        <v>13</v>
      </c>
      <c r="N6" s="80">
        <v>14</v>
      </c>
      <c r="O6" s="80">
        <v>15</v>
      </c>
    </row>
    <row r="7" spans="1:15" ht="60" customHeight="1" x14ac:dyDescent="0.25">
      <c r="A7" s="68" t="s">
        <v>222</v>
      </c>
      <c r="B7" s="66" t="s">
        <v>223</v>
      </c>
      <c r="C7" s="66" t="s">
        <v>224</v>
      </c>
      <c r="D7" s="69" t="s">
        <v>225</v>
      </c>
      <c r="E7" s="69" t="s">
        <v>226</v>
      </c>
      <c r="F7" s="69" t="s">
        <v>227</v>
      </c>
      <c r="G7" s="69" t="s">
        <v>242</v>
      </c>
      <c r="H7" s="70" t="s">
        <v>243</v>
      </c>
      <c r="I7" s="69" t="s">
        <v>216</v>
      </c>
      <c r="J7" s="69" t="s">
        <v>230</v>
      </c>
      <c r="K7" s="69" t="s">
        <v>231</v>
      </c>
      <c r="L7" s="69" t="s">
        <v>244</v>
      </c>
      <c r="M7" s="69" t="s">
        <v>245</v>
      </c>
      <c r="N7" s="69" t="s">
        <v>233</v>
      </c>
      <c r="O7" s="69" t="s">
        <v>234</v>
      </c>
    </row>
    <row r="8" spans="1:15" x14ac:dyDescent="0.25">
      <c r="A8" s="71" t="str">
        <f>'Απόδοση Εγκατάστασης'!$A$8</f>
        <v>January</v>
      </c>
      <c r="B8" s="72">
        <f>'Απόδοση Εγκατάστασης'!$B$8</f>
        <v>83</v>
      </c>
      <c r="C8" s="72">
        <f t="shared" ref="C8:C19" si="0">B8*J$4/1000</f>
        <v>328.68</v>
      </c>
      <c r="D8" s="81">
        <f>ι_Μοντέλο_Ελέγχου_α!$C$22</f>
        <v>800</v>
      </c>
      <c r="E8" s="82">
        <f>'Απόδοση Εγκατάστασης'!$E$8</f>
        <v>0.4</v>
      </c>
      <c r="F8" s="83">
        <f t="shared" ref="F8:F19" si="1">MIN(C8,E8*D8)</f>
        <v>320</v>
      </c>
      <c r="G8" s="83">
        <f t="shared" ref="G8:G19" si="2">D8-F8</f>
        <v>480</v>
      </c>
      <c r="H8" s="83">
        <f t="shared" ref="H8:H19" si="3">MAX(C8-F8,0)</f>
        <v>8.6800000000000068</v>
      </c>
      <c r="I8" s="83">
        <f t="shared" ref="I8:I19" si="4">$O$3</f>
        <v>225</v>
      </c>
      <c r="J8" s="83">
        <f t="shared" ref="J8:J19" si="5">MIN(I8,H8,G8)</f>
        <v>8.6800000000000068</v>
      </c>
      <c r="K8" s="83">
        <f t="shared" ref="K8:K19" si="6">F8+J8</f>
        <v>328.68</v>
      </c>
      <c r="L8" s="83">
        <f t="shared" ref="L8:L19" si="7">D8-K8</f>
        <v>471.32</v>
      </c>
      <c r="M8" s="83">
        <f t="shared" ref="M8:M19" si="8">MAX(C8-K8,0)</f>
        <v>0</v>
      </c>
      <c r="N8" s="83">
        <f t="shared" ref="N8:N19" si="9">M8*J$3</f>
        <v>0</v>
      </c>
      <c r="O8" s="83">
        <f t="shared" ref="O8:O19" si="10">K8*J$2+N8</f>
        <v>65.736000000000004</v>
      </c>
    </row>
    <row r="9" spans="1:15" x14ac:dyDescent="0.25">
      <c r="A9" s="71" t="str">
        <f>'Απόδοση Εγκατάστασης'!$A$9</f>
        <v>February</v>
      </c>
      <c r="B9" s="72">
        <f>'Απόδοση Εγκατάστασης'!$B$9</f>
        <v>87.1</v>
      </c>
      <c r="C9" s="72">
        <f t="shared" si="0"/>
        <v>344.916</v>
      </c>
      <c r="D9" s="81">
        <f>ι_Μοντέλο_Ελέγχου_α!$C$23</f>
        <v>800</v>
      </c>
      <c r="E9" s="82">
        <f>'Απόδοση Εγκατάστασης'!$E$9</f>
        <v>0.5</v>
      </c>
      <c r="F9" s="83">
        <f t="shared" si="1"/>
        <v>344.916</v>
      </c>
      <c r="G9" s="83">
        <f t="shared" si="2"/>
        <v>455.084</v>
      </c>
      <c r="H9" s="83">
        <f t="shared" si="3"/>
        <v>0</v>
      </c>
      <c r="I9" s="83">
        <f t="shared" si="4"/>
        <v>225</v>
      </c>
      <c r="J9" s="83">
        <f t="shared" si="5"/>
        <v>0</v>
      </c>
      <c r="K9" s="83">
        <f t="shared" si="6"/>
        <v>344.916</v>
      </c>
      <c r="L9" s="83">
        <f t="shared" si="7"/>
        <v>455.084</v>
      </c>
      <c r="M9" s="83">
        <f t="shared" si="8"/>
        <v>0</v>
      </c>
      <c r="N9" s="83">
        <f t="shared" si="9"/>
        <v>0</v>
      </c>
      <c r="O9" s="83">
        <f t="shared" si="10"/>
        <v>68.983199999999997</v>
      </c>
    </row>
    <row r="10" spans="1:15" x14ac:dyDescent="0.25">
      <c r="A10" s="71" t="str">
        <f>'Απόδοση Εγκατάστασης'!$A$10</f>
        <v>March</v>
      </c>
      <c r="B10" s="72">
        <f>'Απόδοση Εγκατάστασης'!$B$10</f>
        <v>117.4</v>
      </c>
      <c r="C10" s="72">
        <f t="shared" si="0"/>
        <v>464.904</v>
      </c>
      <c r="D10" s="81">
        <f>ι_Μοντέλο_Ελέγχου_α!$C$24</f>
        <v>800</v>
      </c>
      <c r="E10" s="82">
        <f>'Απόδοση Εγκατάστασης'!$E$10</f>
        <v>0.6</v>
      </c>
      <c r="F10" s="83">
        <f t="shared" si="1"/>
        <v>464.904</v>
      </c>
      <c r="G10" s="83">
        <f t="shared" si="2"/>
        <v>335.096</v>
      </c>
      <c r="H10" s="83">
        <f t="shared" si="3"/>
        <v>0</v>
      </c>
      <c r="I10" s="83">
        <f t="shared" si="4"/>
        <v>225</v>
      </c>
      <c r="J10" s="83">
        <f t="shared" si="5"/>
        <v>0</v>
      </c>
      <c r="K10" s="83">
        <f t="shared" si="6"/>
        <v>464.904</v>
      </c>
      <c r="L10" s="83">
        <f t="shared" si="7"/>
        <v>335.096</v>
      </c>
      <c r="M10" s="83">
        <f t="shared" si="8"/>
        <v>0</v>
      </c>
      <c r="N10" s="83">
        <f t="shared" si="9"/>
        <v>0</v>
      </c>
      <c r="O10" s="83">
        <f t="shared" si="10"/>
        <v>92.980800000000002</v>
      </c>
    </row>
    <row r="11" spans="1:15" x14ac:dyDescent="0.25">
      <c r="A11" s="71" t="str">
        <f>'Απόδοση Εγκατάστασης'!$A$11</f>
        <v>April</v>
      </c>
      <c r="B11" s="72">
        <f>'Απόδοση Εγκατάστασης'!$B$11</f>
        <v>134.5</v>
      </c>
      <c r="C11" s="72">
        <f t="shared" si="0"/>
        <v>532.62</v>
      </c>
      <c r="D11" s="81">
        <f>ι_Μοντέλο_Ελέγχου_α!$C$25</f>
        <v>450</v>
      </c>
      <c r="E11" s="82">
        <f>'Απόδοση Εγκατάστασης'!$E$11</f>
        <v>0.7</v>
      </c>
      <c r="F11" s="83">
        <f t="shared" si="1"/>
        <v>315</v>
      </c>
      <c r="G11" s="83">
        <f t="shared" si="2"/>
        <v>135</v>
      </c>
      <c r="H11" s="83">
        <f t="shared" si="3"/>
        <v>217.62</v>
      </c>
      <c r="I11" s="83">
        <f t="shared" si="4"/>
        <v>225</v>
      </c>
      <c r="J11" s="83">
        <f t="shared" si="5"/>
        <v>135</v>
      </c>
      <c r="K11" s="83">
        <f t="shared" si="6"/>
        <v>450</v>
      </c>
      <c r="L11" s="83">
        <f t="shared" si="7"/>
        <v>0</v>
      </c>
      <c r="M11" s="83">
        <f t="shared" si="8"/>
        <v>82.62</v>
      </c>
      <c r="N11" s="83">
        <f t="shared" si="9"/>
        <v>4.9572000000000003</v>
      </c>
      <c r="O11" s="83">
        <f t="shared" si="10"/>
        <v>94.9572</v>
      </c>
    </row>
    <row r="12" spans="1:15" x14ac:dyDescent="0.25">
      <c r="A12" s="71" t="str">
        <f>'Απόδοση Εγκατάστασης'!$A$12</f>
        <v>May</v>
      </c>
      <c r="B12" s="72">
        <f>'Απόδοση Εγκατάστασης'!$B$12</f>
        <v>150.1</v>
      </c>
      <c r="C12" s="72">
        <f t="shared" si="0"/>
        <v>594.39599999999996</v>
      </c>
      <c r="D12" s="81">
        <f>ι_Μοντέλο_Ελέγχου_α!$C$26</f>
        <v>400</v>
      </c>
      <c r="E12" s="82">
        <f>'Απόδοση Εγκατάστασης'!$E$12</f>
        <v>0.7</v>
      </c>
      <c r="F12" s="83">
        <f t="shared" si="1"/>
        <v>280</v>
      </c>
      <c r="G12" s="83">
        <f t="shared" si="2"/>
        <v>120</v>
      </c>
      <c r="H12" s="83">
        <f t="shared" si="3"/>
        <v>314.39599999999996</v>
      </c>
      <c r="I12" s="83">
        <f t="shared" si="4"/>
        <v>225</v>
      </c>
      <c r="J12" s="83">
        <f t="shared" si="5"/>
        <v>120</v>
      </c>
      <c r="K12" s="83">
        <f t="shared" si="6"/>
        <v>400</v>
      </c>
      <c r="L12" s="83">
        <f t="shared" si="7"/>
        <v>0</v>
      </c>
      <c r="M12" s="83">
        <f t="shared" si="8"/>
        <v>194.39599999999996</v>
      </c>
      <c r="N12" s="83">
        <f t="shared" si="9"/>
        <v>11.663759999999996</v>
      </c>
      <c r="O12" s="83">
        <f t="shared" si="10"/>
        <v>91.663759999999996</v>
      </c>
    </row>
    <row r="13" spans="1:15" x14ac:dyDescent="0.25">
      <c r="A13" s="71" t="str">
        <f>'Απόδοση Εγκατάστασης'!$A$13</f>
        <v>June</v>
      </c>
      <c r="B13" s="72">
        <f>'Απόδοση Εγκατάστασης'!$B$13</f>
        <v>156.1</v>
      </c>
      <c r="C13" s="72">
        <f t="shared" si="0"/>
        <v>618.15599999999995</v>
      </c>
      <c r="D13" s="81">
        <f>ι_Μοντέλο_Ελέγχου_α!$C$27</f>
        <v>450</v>
      </c>
      <c r="E13" s="82">
        <f>'Απόδοση Εγκατάστασης'!$E$13</f>
        <v>0.7</v>
      </c>
      <c r="F13" s="83">
        <f t="shared" si="1"/>
        <v>315</v>
      </c>
      <c r="G13" s="83">
        <f t="shared" si="2"/>
        <v>135</v>
      </c>
      <c r="H13" s="83">
        <f t="shared" si="3"/>
        <v>303.15599999999995</v>
      </c>
      <c r="I13" s="83">
        <f t="shared" si="4"/>
        <v>225</v>
      </c>
      <c r="J13" s="83">
        <f t="shared" si="5"/>
        <v>135</v>
      </c>
      <c r="K13" s="83">
        <f t="shared" si="6"/>
        <v>450</v>
      </c>
      <c r="L13" s="83">
        <f t="shared" si="7"/>
        <v>0</v>
      </c>
      <c r="M13" s="83">
        <f t="shared" si="8"/>
        <v>168.15599999999995</v>
      </c>
      <c r="N13" s="83">
        <f t="shared" si="9"/>
        <v>10.089359999999997</v>
      </c>
      <c r="O13" s="83">
        <f t="shared" si="10"/>
        <v>100.08936</v>
      </c>
    </row>
    <row r="14" spans="1:15" x14ac:dyDescent="0.25">
      <c r="A14" s="71" t="str">
        <f>'Απόδοση Εγκατάστασης'!$A$14</f>
        <v>July</v>
      </c>
      <c r="B14" s="72">
        <f>'Απόδοση Εγκατάστασης'!$B$14</f>
        <v>170.3</v>
      </c>
      <c r="C14" s="72">
        <f t="shared" si="0"/>
        <v>674.38800000000003</v>
      </c>
      <c r="D14" s="81">
        <f>ι_Μοντέλο_Ελέγχου_α!$C$28</f>
        <v>600</v>
      </c>
      <c r="E14" s="82">
        <f>'Απόδοση Εγκατάστασης'!$E$14</f>
        <v>0.7</v>
      </c>
      <c r="F14" s="83">
        <f t="shared" si="1"/>
        <v>420</v>
      </c>
      <c r="G14" s="83">
        <f t="shared" si="2"/>
        <v>180</v>
      </c>
      <c r="H14" s="83">
        <f t="shared" si="3"/>
        <v>254.38800000000003</v>
      </c>
      <c r="I14" s="83">
        <f t="shared" si="4"/>
        <v>225</v>
      </c>
      <c r="J14" s="83">
        <f t="shared" si="5"/>
        <v>180</v>
      </c>
      <c r="K14" s="83">
        <f t="shared" si="6"/>
        <v>600</v>
      </c>
      <c r="L14" s="83">
        <f t="shared" si="7"/>
        <v>0</v>
      </c>
      <c r="M14" s="83">
        <f t="shared" si="8"/>
        <v>74.388000000000034</v>
      </c>
      <c r="N14" s="83">
        <f t="shared" si="9"/>
        <v>4.4632800000000019</v>
      </c>
      <c r="O14" s="83">
        <f t="shared" si="10"/>
        <v>124.46328</v>
      </c>
    </row>
    <row r="15" spans="1:15" x14ac:dyDescent="0.25">
      <c r="A15" s="71" t="str">
        <f>'Απόδοση Εγκατάστασης'!$A$15</f>
        <v>August</v>
      </c>
      <c r="B15" s="72">
        <f>'Απόδοση Εγκατάστασης'!$B$15</f>
        <v>162</v>
      </c>
      <c r="C15" s="72">
        <f t="shared" si="0"/>
        <v>641.52</v>
      </c>
      <c r="D15" s="81">
        <f>ι_Μοντέλο_Ελέγχου_α!$C$29</f>
        <v>600</v>
      </c>
      <c r="E15" s="82">
        <f>'Απόδοση Εγκατάστασης'!$E$15</f>
        <v>0.7</v>
      </c>
      <c r="F15" s="83">
        <f t="shared" si="1"/>
        <v>420</v>
      </c>
      <c r="G15" s="83">
        <f t="shared" si="2"/>
        <v>180</v>
      </c>
      <c r="H15" s="83">
        <f t="shared" si="3"/>
        <v>221.51999999999998</v>
      </c>
      <c r="I15" s="83">
        <f t="shared" si="4"/>
        <v>225</v>
      </c>
      <c r="J15" s="83">
        <f t="shared" si="5"/>
        <v>180</v>
      </c>
      <c r="K15" s="83">
        <f t="shared" si="6"/>
        <v>600</v>
      </c>
      <c r="L15" s="83">
        <f t="shared" si="7"/>
        <v>0</v>
      </c>
      <c r="M15" s="83">
        <f t="shared" si="8"/>
        <v>41.519999999999982</v>
      </c>
      <c r="N15" s="83">
        <f t="shared" si="9"/>
        <v>2.4911999999999987</v>
      </c>
      <c r="O15" s="83">
        <f t="shared" si="10"/>
        <v>122.49119999999999</v>
      </c>
    </row>
    <row r="16" spans="1:15" x14ac:dyDescent="0.25">
      <c r="A16" s="71" t="str">
        <f>'Απόδοση Εγκατάστασης'!$A$16</f>
        <v>September</v>
      </c>
      <c r="B16" s="72">
        <f>'Απόδοση Εγκατάστασης'!$B$16</f>
        <v>129.9</v>
      </c>
      <c r="C16" s="72">
        <f t="shared" si="0"/>
        <v>514.404</v>
      </c>
      <c r="D16" s="81">
        <f>ι_Μοντέλο_Ελέγχου_α!$C$30</f>
        <v>400</v>
      </c>
      <c r="E16" s="82">
        <f>'Απόδοση Εγκατάστασης'!$E$16</f>
        <v>0.6</v>
      </c>
      <c r="F16" s="83">
        <f t="shared" si="1"/>
        <v>240</v>
      </c>
      <c r="G16" s="83">
        <f t="shared" si="2"/>
        <v>160</v>
      </c>
      <c r="H16" s="83">
        <f t="shared" si="3"/>
        <v>274.404</v>
      </c>
      <c r="I16" s="83">
        <f t="shared" si="4"/>
        <v>225</v>
      </c>
      <c r="J16" s="83">
        <f t="shared" si="5"/>
        <v>160</v>
      </c>
      <c r="K16" s="83">
        <f t="shared" si="6"/>
        <v>400</v>
      </c>
      <c r="L16" s="83">
        <f t="shared" si="7"/>
        <v>0</v>
      </c>
      <c r="M16" s="83">
        <f t="shared" si="8"/>
        <v>114.404</v>
      </c>
      <c r="N16" s="83">
        <f t="shared" si="9"/>
        <v>6.8642399999999997</v>
      </c>
      <c r="O16" s="83">
        <f t="shared" si="10"/>
        <v>86.864239999999995</v>
      </c>
    </row>
    <row r="17" spans="1:15" x14ac:dyDescent="0.25">
      <c r="A17" s="71" t="str">
        <f>'Απόδοση Εγκατάστασης'!$A$17</f>
        <v>October</v>
      </c>
      <c r="B17" s="72">
        <f>'Απόδοση Εγκατάστασης'!$B$17</f>
        <v>104</v>
      </c>
      <c r="C17" s="72">
        <f t="shared" si="0"/>
        <v>411.84</v>
      </c>
      <c r="D17" s="81">
        <f>ι_Μοντέλο_Ελέγχου_α!$C$31</f>
        <v>600</v>
      </c>
      <c r="E17" s="82">
        <f>'Απόδοση Εγκατάστασης'!$E$17</f>
        <v>0.55000000000000004</v>
      </c>
      <c r="F17" s="83">
        <f t="shared" si="1"/>
        <v>330</v>
      </c>
      <c r="G17" s="83">
        <f t="shared" si="2"/>
        <v>270</v>
      </c>
      <c r="H17" s="83">
        <f t="shared" si="3"/>
        <v>81.839999999999975</v>
      </c>
      <c r="I17" s="83">
        <f t="shared" si="4"/>
        <v>225</v>
      </c>
      <c r="J17" s="83">
        <f t="shared" si="5"/>
        <v>81.839999999999975</v>
      </c>
      <c r="K17" s="83">
        <f t="shared" si="6"/>
        <v>411.84</v>
      </c>
      <c r="L17" s="83">
        <f t="shared" si="7"/>
        <v>188.16000000000003</v>
      </c>
      <c r="M17" s="83">
        <f t="shared" si="8"/>
        <v>0</v>
      </c>
      <c r="N17" s="83">
        <f t="shared" si="9"/>
        <v>0</v>
      </c>
      <c r="O17" s="83">
        <f t="shared" si="10"/>
        <v>82.367999999999995</v>
      </c>
    </row>
    <row r="18" spans="1:15" x14ac:dyDescent="0.25">
      <c r="A18" s="71" t="str">
        <f>'Απόδοση Εγκατάστασης'!$A$18</f>
        <v>November</v>
      </c>
      <c r="B18" s="72">
        <f>'Απόδοση Εγκατάστασης'!$B$18</f>
        <v>77.400000000000006</v>
      </c>
      <c r="C18" s="72">
        <f t="shared" si="0"/>
        <v>306.50400000000002</v>
      </c>
      <c r="D18" s="81">
        <f>ι_Μοντέλο_Ελέγχου_α!$C$32</f>
        <v>800</v>
      </c>
      <c r="E18" s="82">
        <f>'Απόδοση Εγκατάστασης'!$E$18</f>
        <v>0.5</v>
      </c>
      <c r="F18" s="83">
        <f t="shared" si="1"/>
        <v>306.50400000000002</v>
      </c>
      <c r="G18" s="83">
        <f t="shared" si="2"/>
        <v>493.49599999999998</v>
      </c>
      <c r="H18" s="83">
        <f t="shared" si="3"/>
        <v>0</v>
      </c>
      <c r="I18" s="83">
        <f t="shared" si="4"/>
        <v>225</v>
      </c>
      <c r="J18" s="83">
        <f t="shared" si="5"/>
        <v>0</v>
      </c>
      <c r="K18" s="83">
        <f t="shared" si="6"/>
        <v>306.50400000000002</v>
      </c>
      <c r="L18" s="83">
        <f t="shared" si="7"/>
        <v>493.49599999999998</v>
      </c>
      <c r="M18" s="83">
        <f t="shared" si="8"/>
        <v>0</v>
      </c>
      <c r="N18" s="83">
        <f t="shared" si="9"/>
        <v>0</v>
      </c>
      <c r="O18" s="83">
        <f t="shared" si="10"/>
        <v>61.30080000000001</v>
      </c>
    </row>
    <row r="19" spans="1:15" x14ac:dyDescent="0.25">
      <c r="A19" s="71" t="str">
        <f>'Απόδοση Εγκατάστασης'!$A$19</f>
        <v>December</v>
      </c>
      <c r="B19" s="72">
        <f>'Απόδοση Εγκατάστασης'!$B$19</f>
        <v>73.3</v>
      </c>
      <c r="C19" s="72">
        <f t="shared" si="0"/>
        <v>290.26799999999997</v>
      </c>
      <c r="D19" s="81">
        <f>ι_Μοντέλο_Ελέγχου_α!$C$33</f>
        <v>800</v>
      </c>
      <c r="E19" s="82">
        <f>'Απόδοση Εγκατάστασης'!$E$19</f>
        <v>0.4</v>
      </c>
      <c r="F19" s="83">
        <f t="shared" si="1"/>
        <v>290.26799999999997</v>
      </c>
      <c r="G19" s="83">
        <f t="shared" si="2"/>
        <v>509.73200000000003</v>
      </c>
      <c r="H19" s="83">
        <f t="shared" si="3"/>
        <v>0</v>
      </c>
      <c r="I19" s="83">
        <f t="shared" si="4"/>
        <v>225</v>
      </c>
      <c r="J19" s="83">
        <f t="shared" si="5"/>
        <v>0</v>
      </c>
      <c r="K19" s="83">
        <f t="shared" si="6"/>
        <v>290.26799999999997</v>
      </c>
      <c r="L19" s="83">
        <f t="shared" si="7"/>
        <v>509.73200000000003</v>
      </c>
      <c r="M19" s="83">
        <f t="shared" si="8"/>
        <v>0</v>
      </c>
      <c r="N19" s="83">
        <f t="shared" si="9"/>
        <v>0</v>
      </c>
      <c r="O19" s="83">
        <f t="shared" si="10"/>
        <v>58.053599999999996</v>
      </c>
    </row>
    <row r="20" spans="1:15" x14ac:dyDescent="0.25">
      <c r="A20" s="9"/>
      <c r="B20" s="58"/>
      <c r="C20" s="58"/>
      <c r="D20" s="58"/>
      <c r="E20" s="63"/>
      <c r="F20" s="58"/>
      <c r="G20" s="58"/>
      <c r="H20" s="58"/>
      <c r="I20" s="58"/>
      <c r="J20" s="58"/>
      <c r="K20" s="58"/>
      <c r="L20" s="58"/>
      <c r="M20" s="58"/>
      <c r="N20" s="58"/>
      <c r="O20" s="58"/>
    </row>
    <row r="21" spans="1:15" ht="31.5" customHeight="1" x14ac:dyDescent="0.25">
      <c r="A21" s="84" t="s">
        <v>235</v>
      </c>
      <c r="B21" s="85">
        <f>SUM(B8:B19)</f>
        <v>1445.1000000000001</v>
      </c>
      <c r="C21" s="86">
        <f>SUM(C8:C19)</f>
        <v>5722.5960000000005</v>
      </c>
      <c r="D21" s="87">
        <f>SUM(D8:D19)</f>
        <v>7500</v>
      </c>
      <c r="E21" s="88">
        <f>AVERAGE(E8:E19)</f>
        <v>0.58750000000000002</v>
      </c>
      <c r="F21" s="87">
        <f>SUM(F8:F19)</f>
        <v>4046.5919999999996</v>
      </c>
      <c r="G21" s="87">
        <f>SUM(G8:G19)</f>
        <v>3453.4080000000004</v>
      </c>
      <c r="H21" s="87">
        <f>SUM(H8:H19)</f>
        <v>1676.0039999999997</v>
      </c>
      <c r="I21" s="87">
        <f>$O$3</f>
        <v>225</v>
      </c>
      <c r="J21" s="87">
        <f t="shared" ref="J21:O21" si="11">SUM(J8:J19)</f>
        <v>1000.52</v>
      </c>
      <c r="K21" s="87">
        <f t="shared" si="11"/>
        <v>5047.1120000000001</v>
      </c>
      <c r="L21" s="87">
        <f t="shared" si="11"/>
        <v>2452.8879999999999</v>
      </c>
      <c r="M21" s="87">
        <f t="shared" si="11"/>
        <v>675.48399999999992</v>
      </c>
      <c r="N21" s="87">
        <f t="shared" si="11"/>
        <v>40.529039999999995</v>
      </c>
      <c r="O21" s="87">
        <f t="shared" si="11"/>
        <v>1049.9514399999998</v>
      </c>
    </row>
    <row r="22" spans="1:1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31.5" customHeight="1" x14ac:dyDescent="0.25">
      <c r="A23" s="84" t="s">
        <v>236</v>
      </c>
      <c r="B23" s="89">
        <f>ιγ_Αποτελέσματα_Σεναρίων!$D$6</f>
        <v>3600</v>
      </c>
      <c r="C23" s="86" t="s">
        <v>237</v>
      </c>
      <c r="D23" s="90">
        <f>ιγ_Αποτελέσματα_Σεναρίων!$G$6</f>
        <v>5476.8</v>
      </c>
      <c r="E23" s="87" t="s">
        <v>238</v>
      </c>
      <c r="F23" s="90">
        <f>ιγ_Αποτελέσματα_Σεναρίων!$I$6</f>
        <v>1876.8000000000002</v>
      </c>
      <c r="G23" s="87" t="s">
        <v>48</v>
      </c>
      <c r="H23" s="90">
        <f>ιγ_Αποτελέσματα_Σεναρίων!$S$6</f>
        <v>-563.46035999999992</v>
      </c>
      <c r="I23" s="87" t="s">
        <v>51</v>
      </c>
      <c r="J23" s="90">
        <f>ιγ_Αποτελέσματα_Σεναρίων!$U$6</f>
        <v>13247.481238218974</v>
      </c>
      <c r="K23" s="87" t="s">
        <v>21</v>
      </c>
      <c r="L23" s="91">
        <f>ιγ_Αποτελέσματα_Σεναρίων!$V$6</f>
        <v>0.13923206025631371</v>
      </c>
      <c r="M23" s="87" t="s">
        <v>23</v>
      </c>
      <c r="N23" s="92">
        <f>ιγ_Αποτελέσματα_Σεναρίων!$X$6</f>
        <v>7.5087732722970095</v>
      </c>
      <c r="O23" s="87"/>
    </row>
  </sheetData>
  <sheetProtection sheet="1" objects="1" scenarios="1"/>
  <mergeCells count="10">
    <mergeCell ref="K4:N4"/>
    <mergeCell ref="A2:I2"/>
    <mergeCell ref="K3:N3"/>
    <mergeCell ref="B5:C5"/>
    <mergeCell ref="A1:O1"/>
    <mergeCell ref="A3:I3"/>
    <mergeCell ref="K2:N2"/>
    <mergeCell ref="K5:O5"/>
    <mergeCell ref="A4:I4"/>
    <mergeCell ref="D5:J5"/>
  </mergeCells>
  <pageMargins left="0.75" right="0.75" top="1" bottom="1" header="0.5" footer="0.5"/>
  <pageSetup paperSize="9" fitToHeight="0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44EDA-71F7-473A-805D-1D4FB908792B}">
  <sheetPr codeName="Sheet27">
    <pageSetUpPr fitToPage="1"/>
  </sheetPr>
  <dimension ref="A1:J17"/>
  <sheetViews>
    <sheetView workbookViewId="0">
      <selection activeCell="M24" sqref="M24"/>
    </sheetView>
  </sheetViews>
  <sheetFormatPr defaultRowHeight="15" x14ac:dyDescent="0.25"/>
  <cols>
    <col min="1" max="1" width="12.7109375" customWidth="1"/>
    <col min="2" max="3" width="14.7109375" customWidth="1"/>
    <col min="4" max="4" width="19.7109375" customWidth="1"/>
    <col min="5" max="6" width="18.7109375" customWidth="1"/>
    <col min="7" max="7" width="14.7109375" customWidth="1"/>
    <col min="9" max="9" width="26.7109375" customWidth="1"/>
    <col min="10" max="10" width="17.7109375" customWidth="1"/>
  </cols>
  <sheetData>
    <row r="1" spans="1:10" x14ac:dyDescent="0.25">
      <c r="A1" s="287" t="s">
        <v>480</v>
      </c>
      <c r="B1" s="276"/>
      <c r="C1" s="276"/>
      <c r="D1" s="276"/>
      <c r="E1" s="276"/>
      <c r="F1" s="276"/>
      <c r="G1" s="276"/>
      <c r="H1" s="9"/>
      <c r="I1" s="9"/>
      <c r="J1" s="9"/>
    </row>
    <row r="2" spans="1:10" ht="30.75" customHeight="1" x14ac:dyDescent="0.25">
      <c r="A2" s="288" t="s">
        <v>481</v>
      </c>
      <c r="B2" s="276"/>
      <c r="C2" s="276"/>
      <c r="D2" s="276"/>
      <c r="E2" s="276"/>
      <c r="F2" s="276"/>
      <c r="G2" s="276"/>
      <c r="H2" s="9"/>
      <c r="I2" s="9"/>
      <c r="J2" s="9"/>
    </row>
    <row r="3" spans="1:10" x14ac:dyDescent="0.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10" ht="38.25" x14ac:dyDescent="0.25">
      <c r="A4" s="44" t="s">
        <v>45</v>
      </c>
      <c r="B4" s="44" t="s">
        <v>474</v>
      </c>
      <c r="C4" s="44" t="s">
        <v>182</v>
      </c>
      <c r="D4" s="44" t="s">
        <v>11</v>
      </c>
      <c r="E4" s="44" t="s">
        <v>12</v>
      </c>
      <c r="F4" s="44" t="str">
        <f>λ_Απόδ_Μπαταρία_5!M7</f>
        <v>Υπολειπόμενες / Περίσσεια (kWh)</v>
      </c>
      <c r="G4" s="44" t="s">
        <v>475</v>
      </c>
      <c r="H4" s="9"/>
      <c r="I4" s="289" t="s">
        <v>88</v>
      </c>
      <c r="J4" s="276"/>
    </row>
    <row r="5" spans="1:10" x14ac:dyDescent="0.25">
      <c r="A5" s="45" t="str">
        <f>λ_Απόδ_Μπαταρία_5!A8</f>
        <v>January</v>
      </c>
      <c r="B5" s="46">
        <f>λ_Απόδ_Μπαταρία_5!C8</f>
        <v>328.68</v>
      </c>
      <c r="C5" s="46">
        <f>λ_Απόδ_Μπαταρία_5!D8</f>
        <v>800</v>
      </c>
      <c r="D5" s="46">
        <f>λ_Απόδ_Μπαταρία_5!J8</f>
        <v>8.6800000000000068</v>
      </c>
      <c r="E5" s="46">
        <f>λ_Απόδ_Μπαταρία_5!K8</f>
        <v>328.68</v>
      </c>
      <c r="F5" s="46">
        <f>λ_Απόδ_Μπαταρία_5!M8</f>
        <v>0</v>
      </c>
      <c r="G5" s="47">
        <f>λ_Απόδ_Μπαταρία_5!O8</f>
        <v>65.736000000000004</v>
      </c>
      <c r="H5" s="9"/>
      <c r="I5" s="45" t="s">
        <v>0</v>
      </c>
      <c r="J5" s="45" t="str">
        <f>λ_Απόδ_Μπαταρία_5!O2</f>
        <v>Μπαταρία 5 kWh</v>
      </c>
    </row>
    <row r="6" spans="1:10" x14ac:dyDescent="0.25">
      <c r="A6" s="45" t="str">
        <f>λ_Απόδ_Μπαταρία_5!A9</f>
        <v>February</v>
      </c>
      <c r="B6" s="46">
        <f>λ_Απόδ_Μπαταρία_5!C9</f>
        <v>344.916</v>
      </c>
      <c r="C6" s="46">
        <f>λ_Απόδ_Μπαταρία_5!D9</f>
        <v>800</v>
      </c>
      <c r="D6" s="46">
        <f>λ_Απόδ_Μπαταρία_5!J9</f>
        <v>0</v>
      </c>
      <c r="E6" s="46">
        <f>λ_Απόδ_Μπαταρία_5!K9</f>
        <v>344.916</v>
      </c>
      <c r="F6" s="46">
        <f>λ_Απόδ_Μπαταρία_5!M9</f>
        <v>0</v>
      </c>
      <c r="G6" s="47">
        <f>λ_Απόδ_Μπαταρία_5!O9</f>
        <v>68.983199999999997</v>
      </c>
      <c r="H6" s="9"/>
      <c r="I6" s="45" t="s">
        <v>477</v>
      </c>
      <c r="J6" s="46">
        <f>λ_Απόδ_Μπαταρία_5!O3</f>
        <v>150</v>
      </c>
    </row>
    <row r="7" spans="1:10" x14ac:dyDescent="0.25">
      <c r="A7" s="45" t="str">
        <f>λ_Απόδ_Μπαταρία_5!A10</f>
        <v>March</v>
      </c>
      <c r="B7" s="46">
        <f>λ_Απόδ_Μπαταρία_5!C10</f>
        <v>464.904</v>
      </c>
      <c r="C7" s="46">
        <f>λ_Απόδ_Μπαταρία_5!D10</f>
        <v>800</v>
      </c>
      <c r="D7" s="46">
        <f>λ_Απόδ_Μπαταρία_5!J10</f>
        <v>0</v>
      </c>
      <c r="E7" s="46">
        <f>λ_Απόδ_Μπαταρία_5!K10</f>
        <v>464.904</v>
      </c>
      <c r="F7" s="46">
        <f>λ_Απόδ_Μπαταρία_5!M10</f>
        <v>0</v>
      </c>
      <c r="G7" s="47">
        <f>λ_Απόδ_Μπαταρία_5!O10</f>
        <v>92.980800000000002</v>
      </c>
      <c r="H7" s="9"/>
      <c r="I7" s="45" t="s">
        <v>4</v>
      </c>
      <c r="J7" s="46">
        <f>λ_Απόδ_Μπαταρία_5!J4/1000</f>
        <v>3.96</v>
      </c>
    </row>
    <row r="8" spans="1:10" x14ac:dyDescent="0.25">
      <c r="A8" s="45" t="str">
        <f>λ_Απόδ_Μπαταρία_5!A11</f>
        <v>April</v>
      </c>
      <c r="B8" s="46">
        <f>λ_Απόδ_Μπαταρία_5!C11</f>
        <v>532.62</v>
      </c>
      <c r="C8" s="46">
        <f>λ_Απόδ_Μπαταρία_5!D11</f>
        <v>450</v>
      </c>
      <c r="D8" s="46">
        <f>λ_Απόδ_Μπαταρία_5!J11</f>
        <v>135</v>
      </c>
      <c r="E8" s="46">
        <f>λ_Απόδ_Μπαταρία_5!K11</f>
        <v>450</v>
      </c>
      <c r="F8" s="46">
        <f>λ_Απόδ_Μπαταρία_5!M11</f>
        <v>82.62</v>
      </c>
      <c r="G8" s="47">
        <f>λ_Απόδ_Μπαταρία_5!O11</f>
        <v>94.9572</v>
      </c>
      <c r="H8" s="9"/>
      <c r="I8" s="45" t="s">
        <v>7</v>
      </c>
      <c r="J8" s="47">
        <f>λ_Απόδ_Μπαταρία_5!O4</f>
        <v>6051.2</v>
      </c>
    </row>
    <row r="9" spans="1:10" x14ac:dyDescent="0.25">
      <c r="A9" s="45" t="str">
        <f>λ_Απόδ_Μπαταρία_5!A12</f>
        <v>May</v>
      </c>
      <c r="B9" s="46">
        <f>λ_Απόδ_Μπαταρία_5!C12</f>
        <v>594.39599999999996</v>
      </c>
      <c r="C9" s="46">
        <f>λ_Απόδ_Μπαταρία_5!D12</f>
        <v>400</v>
      </c>
      <c r="D9" s="46">
        <f>λ_Απόδ_Μπαταρία_5!J12</f>
        <v>120</v>
      </c>
      <c r="E9" s="46">
        <f>λ_Απόδ_Μπαταρία_5!K12</f>
        <v>400</v>
      </c>
      <c r="F9" s="46">
        <f>λ_Απόδ_Μπαταρία_5!M12</f>
        <v>194.39599999999996</v>
      </c>
      <c r="G9" s="47">
        <f>λ_Απόδ_Μπαταρία_5!O12</f>
        <v>91.663759999999996</v>
      </c>
      <c r="H9" s="9"/>
      <c r="I9" s="45" t="s">
        <v>3</v>
      </c>
      <c r="J9" s="47">
        <f>λ_Απόδ_Μπαταρία_5!B23</f>
        <v>2400</v>
      </c>
    </row>
    <row r="10" spans="1:10" x14ac:dyDescent="0.25">
      <c r="A10" s="45" t="str">
        <f>λ_Απόδ_Μπαταρία_5!A13</f>
        <v>June</v>
      </c>
      <c r="B10" s="46">
        <f>λ_Απόδ_Μπαταρία_5!C13</f>
        <v>618.15599999999995</v>
      </c>
      <c r="C10" s="46">
        <f>λ_Απόδ_Μπαταρία_5!D13</f>
        <v>450</v>
      </c>
      <c r="D10" s="46">
        <f>λ_Απόδ_Μπαταρία_5!J13</f>
        <v>135</v>
      </c>
      <c r="E10" s="46">
        <f>λ_Απόδ_Μπαταρία_5!K13</f>
        <v>450</v>
      </c>
      <c r="F10" s="46">
        <f>λ_Απόδ_Μπαταρία_5!M13</f>
        <v>168.15599999999995</v>
      </c>
      <c r="G10" s="47">
        <f>λ_Απόδ_Μπαταρία_5!O13</f>
        <v>100.08936</v>
      </c>
      <c r="H10" s="9"/>
      <c r="I10" s="45" t="s">
        <v>20</v>
      </c>
      <c r="J10" s="47">
        <f>λ_Απόδ_Μπαταρία_5!J23</f>
        <v>14256.151364777834</v>
      </c>
    </row>
    <row r="11" spans="1:10" x14ac:dyDescent="0.25">
      <c r="A11" s="45" t="str">
        <f>λ_Απόδ_Μπαταρία_5!A14</f>
        <v>July</v>
      </c>
      <c r="B11" s="46">
        <f>λ_Απόδ_Μπαταρία_5!C14</f>
        <v>674.38800000000003</v>
      </c>
      <c r="C11" s="46">
        <f>λ_Απόδ_Μπαταρία_5!D14</f>
        <v>600</v>
      </c>
      <c r="D11" s="46">
        <f>λ_Απόδ_Μπαταρία_5!J14</f>
        <v>150</v>
      </c>
      <c r="E11" s="46">
        <f>λ_Απόδ_Μπαταρία_5!K14</f>
        <v>570</v>
      </c>
      <c r="F11" s="46">
        <f>λ_Απόδ_Μπαταρία_5!M14</f>
        <v>104.38800000000003</v>
      </c>
      <c r="G11" s="47">
        <f>λ_Απόδ_Μπαταρία_5!O14</f>
        <v>120.26328000000001</v>
      </c>
      <c r="H11" s="9"/>
      <c r="I11" s="45" t="s">
        <v>21</v>
      </c>
      <c r="J11" s="48">
        <f>λ_Απόδ_Μπαταρία_5!L23</f>
        <v>0.16837888999078382</v>
      </c>
    </row>
    <row r="12" spans="1:10" x14ac:dyDescent="0.25">
      <c r="A12" s="45" t="str">
        <f>λ_Απόδ_Μπαταρία_5!A15</f>
        <v>August</v>
      </c>
      <c r="B12" s="46">
        <f>λ_Απόδ_Μπαταρία_5!C15</f>
        <v>641.52</v>
      </c>
      <c r="C12" s="46">
        <f>λ_Απόδ_Μπαταρία_5!D15</f>
        <v>600</v>
      </c>
      <c r="D12" s="46">
        <f>λ_Απόδ_Μπαταρία_5!J15</f>
        <v>150</v>
      </c>
      <c r="E12" s="46">
        <f>λ_Απόδ_Μπαταρία_5!K15</f>
        <v>570</v>
      </c>
      <c r="F12" s="46">
        <f>λ_Απόδ_Μπαταρία_5!M15</f>
        <v>71.519999999999982</v>
      </c>
      <c r="G12" s="47">
        <f>λ_Απόδ_Μπαταρία_5!O15</f>
        <v>118.2912</v>
      </c>
      <c r="H12" s="9"/>
      <c r="I12" s="45" t="s">
        <v>23</v>
      </c>
      <c r="J12" s="49">
        <f>λ_Απόδ_Μπαταρία_5!N23</f>
        <v>6.2483269036682989</v>
      </c>
    </row>
    <row r="13" spans="1:10" x14ac:dyDescent="0.25">
      <c r="A13" s="45" t="str">
        <f>λ_Απόδ_Μπαταρία_5!A16</f>
        <v>September</v>
      </c>
      <c r="B13" s="46">
        <f>λ_Απόδ_Μπαταρία_5!C16</f>
        <v>514.404</v>
      </c>
      <c r="C13" s="46">
        <f>λ_Απόδ_Μπαταρία_5!D16</f>
        <v>400</v>
      </c>
      <c r="D13" s="46">
        <f>λ_Απόδ_Μπαταρία_5!J16</f>
        <v>150</v>
      </c>
      <c r="E13" s="46">
        <f>λ_Απόδ_Μπαταρία_5!K16</f>
        <v>390</v>
      </c>
      <c r="F13" s="46">
        <f>λ_Απόδ_Μπαταρία_5!M16</f>
        <v>124.404</v>
      </c>
      <c r="G13" s="47">
        <f>λ_Απόδ_Μπαταρία_5!O16</f>
        <v>85.464240000000004</v>
      </c>
      <c r="H13" s="9"/>
      <c r="I13" s="45" t="s">
        <v>19</v>
      </c>
      <c r="J13" s="47">
        <f>λ_Απόδ_Μπαταρία_5!O21</f>
        <v>1040.1514399999999</v>
      </c>
    </row>
    <row r="14" spans="1:10" x14ac:dyDescent="0.25">
      <c r="A14" s="45" t="str">
        <f>λ_Απόδ_Μπαταρία_5!A17</f>
        <v>October</v>
      </c>
      <c r="B14" s="46">
        <f>λ_Απόδ_Μπαταρία_5!C17</f>
        <v>411.84</v>
      </c>
      <c r="C14" s="46">
        <f>λ_Απόδ_Μπαταρία_5!D17</f>
        <v>600</v>
      </c>
      <c r="D14" s="46">
        <f>λ_Απόδ_Μπαταρία_5!J17</f>
        <v>81.839999999999975</v>
      </c>
      <c r="E14" s="46">
        <f>λ_Απόδ_Μπαταρία_5!K17</f>
        <v>411.84</v>
      </c>
      <c r="F14" s="46">
        <f>λ_Απόδ_Μπαταρία_5!M17</f>
        <v>0</v>
      </c>
      <c r="G14" s="47">
        <f>λ_Απόδ_Μπαταρία_5!O17</f>
        <v>82.367999999999995</v>
      </c>
      <c r="H14" s="9"/>
      <c r="I14" s="9"/>
      <c r="J14" s="9"/>
    </row>
    <row r="15" spans="1:10" x14ac:dyDescent="0.25">
      <c r="A15" s="45" t="str">
        <f>λ_Απόδ_Μπαταρία_5!A18</f>
        <v>November</v>
      </c>
      <c r="B15" s="46">
        <f>λ_Απόδ_Μπαταρία_5!C18</f>
        <v>306.50400000000002</v>
      </c>
      <c r="C15" s="46">
        <f>λ_Απόδ_Μπαταρία_5!D18</f>
        <v>800</v>
      </c>
      <c r="D15" s="46">
        <f>λ_Απόδ_Μπαταρία_5!J18</f>
        <v>0</v>
      </c>
      <c r="E15" s="46">
        <f>λ_Απόδ_Μπαταρία_5!K18</f>
        <v>306.50400000000002</v>
      </c>
      <c r="F15" s="46">
        <f>λ_Απόδ_Μπαταρία_5!M18</f>
        <v>0</v>
      </c>
      <c r="G15" s="47">
        <f>λ_Απόδ_Μπαταρία_5!O18</f>
        <v>61.30080000000001</v>
      </c>
      <c r="H15" s="9"/>
      <c r="I15" s="9"/>
      <c r="J15" s="9"/>
    </row>
    <row r="16" spans="1:10" x14ac:dyDescent="0.25">
      <c r="A16" s="45" t="str">
        <f>λ_Απόδ_Μπαταρία_5!A19</f>
        <v>December</v>
      </c>
      <c r="B16" s="46">
        <f>λ_Απόδ_Μπαταρία_5!C19</f>
        <v>290.26799999999997</v>
      </c>
      <c r="C16" s="46">
        <f>λ_Απόδ_Μπαταρία_5!D19</f>
        <v>800</v>
      </c>
      <c r="D16" s="46">
        <f>λ_Απόδ_Μπαταρία_5!J19</f>
        <v>0</v>
      </c>
      <c r="E16" s="46">
        <f>λ_Απόδ_Μπαταρία_5!K19</f>
        <v>290.26799999999997</v>
      </c>
      <c r="F16" s="46">
        <f>λ_Απόδ_Μπαταρία_5!M19</f>
        <v>0</v>
      </c>
      <c r="G16" s="47">
        <f>λ_Απόδ_Μπαταρία_5!O19</f>
        <v>58.053599999999996</v>
      </c>
      <c r="H16" s="9"/>
      <c r="I16" s="9"/>
      <c r="J16" s="9"/>
    </row>
    <row r="17" spans="1:10" ht="25.5" x14ac:dyDescent="0.25">
      <c r="A17" s="50" t="s">
        <v>476</v>
      </c>
      <c r="B17" s="51">
        <f>λ_Απόδ_Μπαταρία_5!C21</f>
        <v>5722.5960000000005</v>
      </c>
      <c r="C17" s="51">
        <f>λ_Απόδ_Μπαταρία_5!D21</f>
        <v>7500</v>
      </c>
      <c r="D17" s="51">
        <f>λ_Απόδ_Μπαταρία_5!J21</f>
        <v>930.52</v>
      </c>
      <c r="E17" s="51">
        <f>λ_Απόδ_Μπαταρία_5!K21</f>
        <v>4977.1120000000001</v>
      </c>
      <c r="F17" s="51">
        <f>λ_Απόδ_Μπαταρία_5!M21</f>
        <v>745.48399999999992</v>
      </c>
      <c r="G17" s="52">
        <f>λ_Απόδ_Μπαταρία_5!O21</f>
        <v>1040.1514399999999</v>
      </c>
      <c r="H17" s="9"/>
      <c r="I17" s="9"/>
      <c r="J17" s="9"/>
    </row>
  </sheetData>
  <sheetProtection sheet="1" objects="1" scenarios="1"/>
  <mergeCells count="3">
    <mergeCell ref="A1:G1"/>
    <mergeCell ref="A2:G2"/>
    <mergeCell ref="I4:J4"/>
  </mergeCells>
  <pageMargins left="0.7" right="0.7" top="0.75" bottom="0.75" header="0.3" footer="0.3"/>
  <pageSetup paperSize="9" fitToHeight="0" orientation="landscape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1">
    <pageSetUpPr fitToPage="1"/>
  </sheetPr>
  <dimension ref="A1:O23"/>
  <sheetViews>
    <sheetView showGridLines="0" zoomScaleNormal="100" workbookViewId="0">
      <selection activeCell="O17" sqref="O17"/>
    </sheetView>
  </sheetViews>
  <sheetFormatPr defaultRowHeight="15" x14ac:dyDescent="0.25"/>
  <cols>
    <col min="1" max="1" width="13.28515625" customWidth="1"/>
    <col min="2" max="2" width="10.7109375" bestFit="1" customWidth="1"/>
    <col min="3" max="3" width="16.28515625" bestFit="1" customWidth="1"/>
    <col min="4" max="4" width="13.140625" customWidth="1"/>
    <col min="5" max="5" width="19.85546875" bestFit="1" customWidth="1"/>
    <col min="6" max="6" width="15.28515625" customWidth="1"/>
    <col min="7" max="7" width="23.5703125" bestFit="1" customWidth="1"/>
    <col min="8" max="8" width="14.7109375" customWidth="1"/>
    <col min="9" max="9" width="13.28515625" customWidth="1"/>
    <col min="10" max="10" width="11.5703125" customWidth="1"/>
    <col min="11" max="12" width="14" customWidth="1"/>
    <col min="13" max="13" width="14.42578125" customWidth="1"/>
    <col min="14" max="15" width="15" customWidth="1"/>
  </cols>
  <sheetData>
    <row r="1" spans="1:15" ht="26.25" customHeight="1" x14ac:dyDescent="0.25">
      <c r="A1" s="294" t="s">
        <v>239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2"/>
    </row>
    <row r="2" spans="1:15" ht="18.75" customHeight="1" x14ac:dyDescent="0.25">
      <c r="A2" s="290" t="s">
        <v>214</v>
      </c>
      <c r="B2" s="291"/>
      <c r="C2" s="291"/>
      <c r="D2" s="291"/>
      <c r="E2" s="291"/>
      <c r="F2" s="291"/>
      <c r="G2" s="291"/>
      <c r="H2" s="291"/>
      <c r="I2" s="292"/>
      <c r="J2" s="74">
        <f>ι_Μοντέλο_Ελέγχου_α!$B$8</f>
        <v>0.2</v>
      </c>
      <c r="K2" s="290" t="s">
        <v>211</v>
      </c>
      <c r="L2" s="291"/>
      <c r="M2" s="291"/>
      <c r="N2" s="292"/>
      <c r="O2" s="75" t="str">
        <f>ιγ_Αποτελέσματα_Σεναρίων!$A$5</f>
        <v>Μπαταρία 5 kWh</v>
      </c>
    </row>
    <row r="3" spans="1:15" ht="18.75" customHeight="1" x14ac:dyDescent="0.25">
      <c r="A3" s="290" t="s">
        <v>215</v>
      </c>
      <c r="B3" s="291"/>
      <c r="C3" s="291"/>
      <c r="D3" s="291"/>
      <c r="E3" s="291"/>
      <c r="F3" s="291"/>
      <c r="G3" s="291"/>
      <c r="H3" s="291"/>
      <c r="I3" s="292"/>
      <c r="J3" s="74">
        <f>ι_Μοντέλο_Ελέγχου_α!$B$9</f>
        <v>0.06</v>
      </c>
      <c r="K3" s="290" t="s">
        <v>216</v>
      </c>
      <c r="L3" s="291"/>
      <c r="M3" s="291"/>
      <c r="N3" s="292"/>
      <c r="O3" s="76">
        <f>ιγ_Αποτελέσματα_Σεναρίων!$C$5</f>
        <v>150</v>
      </c>
    </row>
    <row r="4" spans="1:15" ht="18.75" customHeight="1" x14ac:dyDescent="0.25">
      <c r="A4" s="290" t="s">
        <v>240</v>
      </c>
      <c r="B4" s="291"/>
      <c r="C4" s="291"/>
      <c r="D4" s="291"/>
      <c r="E4" s="291"/>
      <c r="F4" s="291"/>
      <c r="G4" s="291"/>
      <c r="H4" s="291"/>
      <c r="I4" s="292"/>
      <c r="J4" s="77">
        <f>ιγ_Αποτελέσματα_Σεναρίων!$E$5*1000</f>
        <v>3960</v>
      </c>
      <c r="K4" s="290" t="s">
        <v>218</v>
      </c>
      <c r="L4" s="291"/>
      <c r="M4" s="291"/>
      <c r="N4" s="292"/>
      <c r="O4" s="78">
        <f>ιγ_Αποτελέσματα_Σεναρίων!$H$5</f>
        <v>6051.2</v>
      </c>
    </row>
    <row r="5" spans="1:15" ht="31.5" customHeight="1" x14ac:dyDescent="0.25">
      <c r="A5" s="73"/>
      <c r="B5" s="293" t="s">
        <v>219</v>
      </c>
      <c r="C5" s="292"/>
      <c r="D5" s="295" t="s">
        <v>241</v>
      </c>
      <c r="E5" s="291"/>
      <c r="F5" s="291"/>
      <c r="G5" s="291"/>
      <c r="H5" s="291"/>
      <c r="I5" s="291"/>
      <c r="J5" s="292"/>
      <c r="K5" s="295" t="s">
        <v>221</v>
      </c>
      <c r="L5" s="291"/>
      <c r="M5" s="291"/>
      <c r="N5" s="291"/>
      <c r="O5" s="292"/>
    </row>
    <row r="6" spans="1:15" ht="30" customHeight="1" x14ac:dyDescent="0.25">
      <c r="A6" s="79">
        <v>1</v>
      </c>
      <c r="B6" s="67">
        <v>2</v>
      </c>
      <c r="C6" s="67">
        <v>3</v>
      </c>
      <c r="D6" s="80">
        <v>4</v>
      </c>
      <c r="E6" s="80">
        <v>5</v>
      </c>
      <c r="F6" s="80">
        <v>6</v>
      </c>
      <c r="G6" s="80">
        <v>7</v>
      </c>
      <c r="H6" s="80">
        <v>8</v>
      </c>
      <c r="I6" s="80">
        <v>9</v>
      </c>
      <c r="J6" s="80">
        <v>10</v>
      </c>
      <c r="K6" s="80">
        <v>11</v>
      </c>
      <c r="L6" s="80">
        <v>12</v>
      </c>
      <c r="M6" s="80">
        <v>13</v>
      </c>
      <c r="N6" s="80">
        <v>14</v>
      </c>
      <c r="O6" s="80">
        <v>15</v>
      </c>
    </row>
    <row r="7" spans="1:15" ht="60" customHeight="1" x14ac:dyDescent="0.25">
      <c r="A7" s="68" t="s">
        <v>222</v>
      </c>
      <c r="B7" s="66" t="s">
        <v>223</v>
      </c>
      <c r="C7" s="66" t="s">
        <v>224</v>
      </c>
      <c r="D7" s="69" t="s">
        <v>225</v>
      </c>
      <c r="E7" s="69" t="s">
        <v>226</v>
      </c>
      <c r="F7" s="69" t="s">
        <v>227</v>
      </c>
      <c r="G7" s="69" t="s">
        <v>242</v>
      </c>
      <c r="H7" s="70" t="s">
        <v>243</v>
      </c>
      <c r="I7" s="69" t="s">
        <v>216</v>
      </c>
      <c r="J7" s="69" t="s">
        <v>230</v>
      </c>
      <c r="K7" s="69" t="s">
        <v>231</v>
      </c>
      <c r="L7" s="69" t="s">
        <v>244</v>
      </c>
      <c r="M7" s="69" t="s">
        <v>245</v>
      </c>
      <c r="N7" s="69" t="s">
        <v>233</v>
      </c>
      <c r="O7" s="69" t="s">
        <v>234</v>
      </c>
    </row>
    <row r="8" spans="1:15" x14ac:dyDescent="0.25">
      <c r="A8" s="71" t="str">
        <f>'Απόδοση Εγκατάστασης'!$A$8</f>
        <v>January</v>
      </c>
      <c r="B8" s="72">
        <f>'Απόδοση Εγκατάστασης'!$B$8</f>
        <v>83</v>
      </c>
      <c r="C8" s="72">
        <f t="shared" ref="C8:C19" si="0">B8*J$4/1000</f>
        <v>328.68</v>
      </c>
      <c r="D8" s="81">
        <f>ι_Μοντέλο_Ελέγχου_α!$C$22</f>
        <v>800</v>
      </c>
      <c r="E8" s="82">
        <f>'Απόδοση Εγκατάστασης'!$E$8</f>
        <v>0.4</v>
      </c>
      <c r="F8" s="83">
        <f t="shared" ref="F8:F19" si="1">MIN(C8,E8*D8)</f>
        <v>320</v>
      </c>
      <c r="G8" s="83">
        <f t="shared" ref="G8:G19" si="2">D8-F8</f>
        <v>480</v>
      </c>
      <c r="H8" s="83">
        <f t="shared" ref="H8:H19" si="3">MAX(C8-F8,0)</f>
        <v>8.6800000000000068</v>
      </c>
      <c r="I8" s="83">
        <f t="shared" ref="I8:I19" si="4">$O$3</f>
        <v>150</v>
      </c>
      <c r="J8" s="83">
        <f t="shared" ref="J8:J19" si="5">MIN(I8,H8,G8)</f>
        <v>8.6800000000000068</v>
      </c>
      <c r="K8" s="83">
        <f t="shared" ref="K8:K19" si="6">F8+J8</f>
        <v>328.68</v>
      </c>
      <c r="L8" s="83">
        <f t="shared" ref="L8:L19" si="7">D8-K8</f>
        <v>471.32</v>
      </c>
      <c r="M8" s="83">
        <f t="shared" ref="M8:M19" si="8">MAX(C8-K8,0)</f>
        <v>0</v>
      </c>
      <c r="N8" s="83">
        <f t="shared" ref="N8:N19" si="9">M8*J$3</f>
        <v>0</v>
      </c>
      <c r="O8" s="83">
        <f t="shared" ref="O8:O19" si="10">K8*J$2+N8</f>
        <v>65.736000000000004</v>
      </c>
    </row>
    <row r="9" spans="1:15" x14ac:dyDescent="0.25">
      <c r="A9" s="71" t="str">
        <f>'Απόδοση Εγκατάστασης'!$A$9</f>
        <v>February</v>
      </c>
      <c r="B9" s="72">
        <f>'Απόδοση Εγκατάστασης'!$B$9</f>
        <v>87.1</v>
      </c>
      <c r="C9" s="72">
        <f t="shared" si="0"/>
        <v>344.916</v>
      </c>
      <c r="D9" s="81">
        <f>ι_Μοντέλο_Ελέγχου_α!$C$23</f>
        <v>800</v>
      </c>
      <c r="E9" s="82">
        <f>'Απόδοση Εγκατάστασης'!$E$9</f>
        <v>0.5</v>
      </c>
      <c r="F9" s="83">
        <f t="shared" si="1"/>
        <v>344.916</v>
      </c>
      <c r="G9" s="83">
        <f t="shared" si="2"/>
        <v>455.084</v>
      </c>
      <c r="H9" s="83">
        <f t="shared" si="3"/>
        <v>0</v>
      </c>
      <c r="I9" s="83">
        <f t="shared" si="4"/>
        <v>150</v>
      </c>
      <c r="J9" s="83">
        <f t="shared" si="5"/>
        <v>0</v>
      </c>
      <c r="K9" s="83">
        <f t="shared" si="6"/>
        <v>344.916</v>
      </c>
      <c r="L9" s="83">
        <f t="shared" si="7"/>
        <v>455.084</v>
      </c>
      <c r="M9" s="83">
        <f t="shared" si="8"/>
        <v>0</v>
      </c>
      <c r="N9" s="83">
        <f t="shared" si="9"/>
        <v>0</v>
      </c>
      <c r="O9" s="83">
        <f t="shared" si="10"/>
        <v>68.983199999999997</v>
      </c>
    </row>
    <row r="10" spans="1:15" x14ac:dyDescent="0.25">
      <c r="A10" s="71" t="str">
        <f>'Απόδοση Εγκατάστασης'!$A$10</f>
        <v>March</v>
      </c>
      <c r="B10" s="72">
        <f>'Απόδοση Εγκατάστασης'!$B$10</f>
        <v>117.4</v>
      </c>
      <c r="C10" s="72">
        <f t="shared" si="0"/>
        <v>464.904</v>
      </c>
      <c r="D10" s="81">
        <f>ι_Μοντέλο_Ελέγχου_α!$C$24</f>
        <v>800</v>
      </c>
      <c r="E10" s="82">
        <f>'Απόδοση Εγκατάστασης'!$E$10</f>
        <v>0.6</v>
      </c>
      <c r="F10" s="83">
        <f t="shared" si="1"/>
        <v>464.904</v>
      </c>
      <c r="G10" s="83">
        <f t="shared" si="2"/>
        <v>335.096</v>
      </c>
      <c r="H10" s="83">
        <f t="shared" si="3"/>
        <v>0</v>
      </c>
      <c r="I10" s="83">
        <f t="shared" si="4"/>
        <v>150</v>
      </c>
      <c r="J10" s="83">
        <f t="shared" si="5"/>
        <v>0</v>
      </c>
      <c r="K10" s="83">
        <f t="shared" si="6"/>
        <v>464.904</v>
      </c>
      <c r="L10" s="83">
        <f t="shared" si="7"/>
        <v>335.096</v>
      </c>
      <c r="M10" s="83">
        <f t="shared" si="8"/>
        <v>0</v>
      </c>
      <c r="N10" s="83">
        <f t="shared" si="9"/>
        <v>0</v>
      </c>
      <c r="O10" s="83">
        <f t="shared" si="10"/>
        <v>92.980800000000002</v>
      </c>
    </row>
    <row r="11" spans="1:15" x14ac:dyDescent="0.25">
      <c r="A11" s="71" t="str">
        <f>'Απόδοση Εγκατάστασης'!$A$11</f>
        <v>April</v>
      </c>
      <c r="B11" s="72">
        <f>'Απόδοση Εγκατάστασης'!$B$11</f>
        <v>134.5</v>
      </c>
      <c r="C11" s="72">
        <f t="shared" si="0"/>
        <v>532.62</v>
      </c>
      <c r="D11" s="81">
        <f>ι_Μοντέλο_Ελέγχου_α!$C$25</f>
        <v>450</v>
      </c>
      <c r="E11" s="82">
        <f>'Απόδοση Εγκατάστασης'!$E$11</f>
        <v>0.7</v>
      </c>
      <c r="F11" s="83">
        <f t="shared" si="1"/>
        <v>315</v>
      </c>
      <c r="G11" s="83">
        <f t="shared" si="2"/>
        <v>135</v>
      </c>
      <c r="H11" s="83">
        <f t="shared" si="3"/>
        <v>217.62</v>
      </c>
      <c r="I11" s="83">
        <f t="shared" si="4"/>
        <v>150</v>
      </c>
      <c r="J11" s="83">
        <f t="shared" si="5"/>
        <v>135</v>
      </c>
      <c r="K11" s="83">
        <f t="shared" si="6"/>
        <v>450</v>
      </c>
      <c r="L11" s="83">
        <f t="shared" si="7"/>
        <v>0</v>
      </c>
      <c r="M11" s="83">
        <f t="shared" si="8"/>
        <v>82.62</v>
      </c>
      <c r="N11" s="83">
        <f t="shared" si="9"/>
        <v>4.9572000000000003</v>
      </c>
      <c r="O11" s="83">
        <f t="shared" si="10"/>
        <v>94.9572</v>
      </c>
    </row>
    <row r="12" spans="1:15" x14ac:dyDescent="0.25">
      <c r="A12" s="71" t="str">
        <f>'Απόδοση Εγκατάστασης'!$A$12</f>
        <v>May</v>
      </c>
      <c r="B12" s="72">
        <f>'Απόδοση Εγκατάστασης'!$B$12</f>
        <v>150.1</v>
      </c>
      <c r="C12" s="72">
        <f t="shared" si="0"/>
        <v>594.39599999999996</v>
      </c>
      <c r="D12" s="81">
        <f>ι_Μοντέλο_Ελέγχου_α!$C$26</f>
        <v>400</v>
      </c>
      <c r="E12" s="82">
        <f>'Απόδοση Εγκατάστασης'!$E$12</f>
        <v>0.7</v>
      </c>
      <c r="F12" s="83">
        <f t="shared" si="1"/>
        <v>280</v>
      </c>
      <c r="G12" s="83">
        <f t="shared" si="2"/>
        <v>120</v>
      </c>
      <c r="H12" s="83">
        <f t="shared" si="3"/>
        <v>314.39599999999996</v>
      </c>
      <c r="I12" s="83">
        <f t="shared" si="4"/>
        <v>150</v>
      </c>
      <c r="J12" s="83">
        <f t="shared" si="5"/>
        <v>120</v>
      </c>
      <c r="K12" s="83">
        <f t="shared" si="6"/>
        <v>400</v>
      </c>
      <c r="L12" s="83">
        <f t="shared" si="7"/>
        <v>0</v>
      </c>
      <c r="M12" s="83">
        <f t="shared" si="8"/>
        <v>194.39599999999996</v>
      </c>
      <c r="N12" s="83">
        <f t="shared" si="9"/>
        <v>11.663759999999996</v>
      </c>
      <c r="O12" s="83">
        <f t="shared" si="10"/>
        <v>91.663759999999996</v>
      </c>
    </row>
    <row r="13" spans="1:15" x14ac:dyDescent="0.25">
      <c r="A13" s="71" t="str">
        <f>'Απόδοση Εγκατάστασης'!$A$13</f>
        <v>June</v>
      </c>
      <c r="B13" s="72">
        <f>'Απόδοση Εγκατάστασης'!$B$13</f>
        <v>156.1</v>
      </c>
      <c r="C13" s="72">
        <f t="shared" si="0"/>
        <v>618.15599999999995</v>
      </c>
      <c r="D13" s="81">
        <f>ι_Μοντέλο_Ελέγχου_α!$C$27</f>
        <v>450</v>
      </c>
      <c r="E13" s="82">
        <f>'Απόδοση Εγκατάστασης'!$E$13</f>
        <v>0.7</v>
      </c>
      <c r="F13" s="83">
        <f t="shared" si="1"/>
        <v>315</v>
      </c>
      <c r="G13" s="83">
        <f t="shared" si="2"/>
        <v>135</v>
      </c>
      <c r="H13" s="83">
        <f t="shared" si="3"/>
        <v>303.15599999999995</v>
      </c>
      <c r="I13" s="83">
        <f t="shared" si="4"/>
        <v>150</v>
      </c>
      <c r="J13" s="83">
        <f t="shared" si="5"/>
        <v>135</v>
      </c>
      <c r="K13" s="83">
        <f t="shared" si="6"/>
        <v>450</v>
      </c>
      <c r="L13" s="83">
        <f t="shared" si="7"/>
        <v>0</v>
      </c>
      <c r="M13" s="83">
        <f t="shared" si="8"/>
        <v>168.15599999999995</v>
      </c>
      <c r="N13" s="83">
        <f t="shared" si="9"/>
        <v>10.089359999999997</v>
      </c>
      <c r="O13" s="83">
        <f t="shared" si="10"/>
        <v>100.08936</v>
      </c>
    </row>
    <row r="14" spans="1:15" x14ac:dyDescent="0.25">
      <c r="A14" s="71" t="str">
        <f>'Απόδοση Εγκατάστασης'!$A$14</f>
        <v>July</v>
      </c>
      <c r="B14" s="72">
        <f>'Απόδοση Εγκατάστασης'!$B$14</f>
        <v>170.3</v>
      </c>
      <c r="C14" s="72">
        <f t="shared" si="0"/>
        <v>674.38800000000003</v>
      </c>
      <c r="D14" s="81">
        <f>ι_Μοντέλο_Ελέγχου_α!$C$28</f>
        <v>600</v>
      </c>
      <c r="E14" s="82">
        <f>'Απόδοση Εγκατάστασης'!$E$14</f>
        <v>0.7</v>
      </c>
      <c r="F14" s="83">
        <f t="shared" si="1"/>
        <v>420</v>
      </c>
      <c r="G14" s="83">
        <f t="shared" si="2"/>
        <v>180</v>
      </c>
      <c r="H14" s="83">
        <f t="shared" si="3"/>
        <v>254.38800000000003</v>
      </c>
      <c r="I14" s="83">
        <f t="shared" si="4"/>
        <v>150</v>
      </c>
      <c r="J14" s="83">
        <f t="shared" si="5"/>
        <v>150</v>
      </c>
      <c r="K14" s="83">
        <f t="shared" si="6"/>
        <v>570</v>
      </c>
      <c r="L14" s="83">
        <f t="shared" si="7"/>
        <v>30</v>
      </c>
      <c r="M14" s="83">
        <f t="shared" si="8"/>
        <v>104.38800000000003</v>
      </c>
      <c r="N14" s="83">
        <f t="shared" si="9"/>
        <v>6.2632800000000017</v>
      </c>
      <c r="O14" s="83">
        <f t="shared" si="10"/>
        <v>120.26328000000001</v>
      </c>
    </row>
    <row r="15" spans="1:15" x14ac:dyDescent="0.25">
      <c r="A15" s="71" t="str">
        <f>'Απόδοση Εγκατάστασης'!$A$15</f>
        <v>August</v>
      </c>
      <c r="B15" s="72">
        <f>'Απόδοση Εγκατάστασης'!$B$15</f>
        <v>162</v>
      </c>
      <c r="C15" s="72">
        <f t="shared" si="0"/>
        <v>641.52</v>
      </c>
      <c r="D15" s="81">
        <f>ι_Μοντέλο_Ελέγχου_α!$C$29</f>
        <v>600</v>
      </c>
      <c r="E15" s="82">
        <f>'Απόδοση Εγκατάστασης'!$E$15</f>
        <v>0.7</v>
      </c>
      <c r="F15" s="83">
        <f t="shared" si="1"/>
        <v>420</v>
      </c>
      <c r="G15" s="83">
        <f t="shared" si="2"/>
        <v>180</v>
      </c>
      <c r="H15" s="83">
        <f t="shared" si="3"/>
        <v>221.51999999999998</v>
      </c>
      <c r="I15" s="83">
        <f t="shared" si="4"/>
        <v>150</v>
      </c>
      <c r="J15" s="83">
        <f t="shared" si="5"/>
        <v>150</v>
      </c>
      <c r="K15" s="83">
        <f t="shared" si="6"/>
        <v>570</v>
      </c>
      <c r="L15" s="83">
        <f t="shared" si="7"/>
        <v>30</v>
      </c>
      <c r="M15" s="83">
        <f t="shared" si="8"/>
        <v>71.519999999999982</v>
      </c>
      <c r="N15" s="83">
        <f t="shared" si="9"/>
        <v>4.291199999999999</v>
      </c>
      <c r="O15" s="83">
        <f t="shared" si="10"/>
        <v>118.2912</v>
      </c>
    </row>
    <row r="16" spans="1:15" x14ac:dyDescent="0.25">
      <c r="A16" s="71" t="str">
        <f>'Απόδοση Εγκατάστασης'!$A$16</f>
        <v>September</v>
      </c>
      <c r="B16" s="72">
        <f>'Απόδοση Εγκατάστασης'!$B$16</f>
        <v>129.9</v>
      </c>
      <c r="C16" s="72">
        <f t="shared" si="0"/>
        <v>514.404</v>
      </c>
      <c r="D16" s="81">
        <f>ι_Μοντέλο_Ελέγχου_α!$C$30</f>
        <v>400</v>
      </c>
      <c r="E16" s="82">
        <f>'Απόδοση Εγκατάστασης'!$E$16</f>
        <v>0.6</v>
      </c>
      <c r="F16" s="83">
        <f t="shared" si="1"/>
        <v>240</v>
      </c>
      <c r="G16" s="83">
        <f t="shared" si="2"/>
        <v>160</v>
      </c>
      <c r="H16" s="83">
        <f t="shared" si="3"/>
        <v>274.404</v>
      </c>
      <c r="I16" s="83">
        <f t="shared" si="4"/>
        <v>150</v>
      </c>
      <c r="J16" s="83">
        <f t="shared" si="5"/>
        <v>150</v>
      </c>
      <c r="K16" s="83">
        <f t="shared" si="6"/>
        <v>390</v>
      </c>
      <c r="L16" s="83">
        <f t="shared" si="7"/>
        <v>10</v>
      </c>
      <c r="M16" s="83">
        <f t="shared" si="8"/>
        <v>124.404</v>
      </c>
      <c r="N16" s="83">
        <f t="shared" si="9"/>
        <v>7.4642399999999993</v>
      </c>
      <c r="O16" s="83">
        <f t="shared" si="10"/>
        <v>85.464240000000004</v>
      </c>
    </row>
    <row r="17" spans="1:15" x14ac:dyDescent="0.25">
      <c r="A17" s="71" t="str">
        <f>'Απόδοση Εγκατάστασης'!$A$17</f>
        <v>October</v>
      </c>
      <c r="B17" s="72">
        <f>'Απόδοση Εγκατάστασης'!$B$17</f>
        <v>104</v>
      </c>
      <c r="C17" s="72">
        <f t="shared" si="0"/>
        <v>411.84</v>
      </c>
      <c r="D17" s="81">
        <f>ι_Μοντέλο_Ελέγχου_α!$C$31</f>
        <v>600</v>
      </c>
      <c r="E17" s="82">
        <f>'Απόδοση Εγκατάστασης'!$E$17</f>
        <v>0.55000000000000004</v>
      </c>
      <c r="F17" s="83">
        <f t="shared" si="1"/>
        <v>330</v>
      </c>
      <c r="G17" s="83">
        <f t="shared" si="2"/>
        <v>270</v>
      </c>
      <c r="H17" s="83">
        <f t="shared" si="3"/>
        <v>81.839999999999975</v>
      </c>
      <c r="I17" s="83">
        <f t="shared" si="4"/>
        <v>150</v>
      </c>
      <c r="J17" s="83">
        <f t="shared" si="5"/>
        <v>81.839999999999975</v>
      </c>
      <c r="K17" s="83">
        <f t="shared" si="6"/>
        <v>411.84</v>
      </c>
      <c r="L17" s="83">
        <f t="shared" si="7"/>
        <v>188.16000000000003</v>
      </c>
      <c r="M17" s="83">
        <f t="shared" si="8"/>
        <v>0</v>
      </c>
      <c r="N17" s="83">
        <f t="shared" si="9"/>
        <v>0</v>
      </c>
      <c r="O17" s="83">
        <f t="shared" si="10"/>
        <v>82.367999999999995</v>
      </c>
    </row>
    <row r="18" spans="1:15" x14ac:dyDescent="0.25">
      <c r="A18" s="71" t="str">
        <f>'Απόδοση Εγκατάστασης'!$A$18</f>
        <v>November</v>
      </c>
      <c r="B18" s="72">
        <f>'Απόδοση Εγκατάστασης'!$B$18</f>
        <v>77.400000000000006</v>
      </c>
      <c r="C18" s="72">
        <f t="shared" si="0"/>
        <v>306.50400000000002</v>
      </c>
      <c r="D18" s="81">
        <f>ι_Μοντέλο_Ελέγχου_α!$C$32</f>
        <v>800</v>
      </c>
      <c r="E18" s="82">
        <f>'Απόδοση Εγκατάστασης'!$E$18</f>
        <v>0.5</v>
      </c>
      <c r="F18" s="83">
        <f t="shared" si="1"/>
        <v>306.50400000000002</v>
      </c>
      <c r="G18" s="83">
        <f t="shared" si="2"/>
        <v>493.49599999999998</v>
      </c>
      <c r="H18" s="83">
        <f t="shared" si="3"/>
        <v>0</v>
      </c>
      <c r="I18" s="83">
        <f t="shared" si="4"/>
        <v>150</v>
      </c>
      <c r="J18" s="83">
        <f t="shared" si="5"/>
        <v>0</v>
      </c>
      <c r="K18" s="83">
        <f t="shared" si="6"/>
        <v>306.50400000000002</v>
      </c>
      <c r="L18" s="83">
        <f t="shared" si="7"/>
        <v>493.49599999999998</v>
      </c>
      <c r="M18" s="83">
        <f t="shared" si="8"/>
        <v>0</v>
      </c>
      <c r="N18" s="83">
        <f t="shared" si="9"/>
        <v>0</v>
      </c>
      <c r="O18" s="83">
        <f t="shared" si="10"/>
        <v>61.30080000000001</v>
      </c>
    </row>
    <row r="19" spans="1:15" x14ac:dyDescent="0.25">
      <c r="A19" s="71" t="str">
        <f>'Απόδοση Εγκατάστασης'!$A$19</f>
        <v>December</v>
      </c>
      <c r="B19" s="72">
        <f>'Απόδοση Εγκατάστασης'!$B$19</f>
        <v>73.3</v>
      </c>
      <c r="C19" s="72">
        <f t="shared" si="0"/>
        <v>290.26799999999997</v>
      </c>
      <c r="D19" s="81">
        <f>ι_Μοντέλο_Ελέγχου_α!$C$33</f>
        <v>800</v>
      </c>
      <c r="E19" s="82">
        <f>'Απόδοση Εγκατάστασης'!$E$19</f>
        <v>0.4</v>
      </c>
      <c r="F19" s="83">
        <f t="shared" si="1"/>
        <v>290.26799999999997</v>
      </c>
      <c r="G19" s="83">
        <f t="shared" si="2"/>
        <v>509.73200000000003</v>
      </c>
      <c r="H19" s="83">
        <f t="shared" si="3"/>
        <v>0</v>
      </c>
      <c r="I19" s="83">
        <f t="shared" si="4"/>
        <v>150</v>
      </c>
      <c r="J19" s="83">
        <f t="shared" si="5"/>
        <v>0</v>
      </c>
      <c r="K19" s="83">
        <f t="shared" si="6"/>
        <v>290.26799999999997</v>
      </c>
      <c r="L19" s="83">
        <f t="shared" si="7"/>
        <v>509.73200000000003</v>
      </c>
      <c r="M19" s="83">
        <f t="shared" si="8"/>
        <v>0</v>
      </c>
      <c r="N19" s="83">
        <f t="shared" si="9"/>
        <v>0</v>
      </c>
      <c r="O19" s="83">
        <f t="shared" si="10"/>
        <v>58.053599999999996</v>
      </c>
    </row>
    <row r="20" spans="1:15" x14ac:dyDescent="0.25">
      <c r="A20" s="9"/>
      <c r="B20" s="58"/>
      <c r="C20" s="58"/>
      <c r="D20" s="58"/>
      <c r="E20" s="63"/>
      <c r="F20" s="58"/>
      <c r="G20" s="58"/>
      <c r="H20" s="58"/>
      <c r="I20" s="58"/>
      <c r="J20" s="58"/>
      <c r="K20" s="58"/>
      <c r="L20" s="58"/>
      <c r="M20" s="58"/>
      <c r="N20" s="58"/>
      <c r="O20" s="58"/>
    </row>
    <row r="21" spans="1:15" ht="31.5" customHeight="1" x14ac:dyDescent="0.25">
      <c r="A21" s="84" t="s">
        <v>235</v>
      </c>
      <c r="B21" s="85">
        <f>SUM(B8:B19)</f>
        <v>1445.1000000000001</v>
      </c>
      <c r="C21" s="86">
        <f>SUM(C8:C19)</f>
        <v>5722.5960000000005</v>
      </c>
      <c r="D21" s="87">
        <f>SUM(D8:D19)</f>
        <v>7500</v>
      </c>
      <c r="E21" s="88">
        <f>AVERAGE(E8:E19)</f>
        <v>0.58750000000000002</v>
      </c>
      <c r="F21" s="87">
        <f>SUM(F8:F19)</f>
        <v>4046.5919999999996</v>
      </c>
      <c r="G21" s="87">
        <f>SUM(G8:G19)</f>
        <v>3453.4080000000004</v>
      </c>
      <c r="H21" s="87">
        <f>SUM(H8:H19)</f>
        <v>1676.0039999999997</v>
      </c>
      <c r="I21" s="87">
        <f>$O$3</f>
        <v>150</v>
      </c>
      <c r="J21" s="87">
        <f t="shared" ref="J21:O21" si="11">SUM(J8:J19)</f>
        <v>930.52</v>
      </c>
      <c r="K21" s="87">
        <f t="shared" si="11"/>
        <v>4977.1120000000001</v>
      </c>
      <c r="L21" s="87">
        <f t="shared" si="11"/>
        <v>2522.8879999999999</v>
      </c>
      <c r="M21" s="87">
        <f t="shared" si="11"/>
        <v>745.48399999999992</v>
      </c>
      <c r="N21" s="87">
        <f t="shared" si="11"/>
        <v>44.729039999999991</v>
      </c>
      <c r="O21" s="87">
        <f t="shared" si="11"/>
        <v>1040.1514399999999</v>
      </c>
    </row>
    <row r="22" spans="1:1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31.5" customHeight="1" x14ac:dyDescent="0.25">
      <c r="A23" s="84" t="s">
        <v>236</v>
      </c>
      <c r="B23" s="89">
        <f>ιγ_Αποτελέσματα_Σεναρίων!$D$5</f>
        <v>2400</v>
      </c>
      <c r="C23" s="86" t="s">
        <v>237</v>
      </c>
      <c r="D23" s="90">
        <f>ιγ_Αποτελέσματα_Σεναρίων!$G$5</f>
        <v>5476.8</v>
      </c>
      <c r="E23" s="87" t="s">
        <v>238</v>
      </c>
      <c r="F23" s="90">
        <f>ιγ_Αποτελέσματα_Σεναρίων!$I$5</f>
        <v>3076.8</v>
      </c>
      <c r="G23" s="87" t="s">
        <v>48</v>
      </c>
      <c r="H23" s="90">
        <f>ιγ_Αποτελέσματα_Σεναρίων!$S$5</f>
        <v>-559.26035999999999</v>
      </c>
      <c r="I23" s="87" t="s">
        <v>51</v>
      </c>
      <c r="J23" s="90">
        <f>ιγ_Αποτελέσματα_Σεναρίων!$U$5</f>
        <v>14256.151364777834</v>
      </c>
      <c r="K23" s="87" t="s">
        <v>21</v>
      </c>
      <c r="L23" s="91">
        <f>ιγ_Αποτελέσματα_Σεναρίων!$V$5</f>
        <v>0.16837888999078382</v>
      </c>
      <c r="M23" s="87" t="s">
        <v>23</v>
      </c>
      <c r="N23" s="92">
        <f>ιγ_Αποτελέσματα_Σεναρίων!$X$5</f>
        <v>6.2483269036682989</v>
      </c>
      <c r="O23" s="87"/>
    </row>
  </sheetData>
  <sheetProtection sheet="1" objects="1" scenarios="1"/>
  <mergeCells count="10">
    <mergeCell ref="K4:N4"/>
    <mergeCell ref="A2:I2"/>
    <mergeCell ref="K3:N3"/>
    <mergeCell ref="B5:C5"/>
    <mergeCell ref="A1:O1"/>
    <mergeCell ref="A3:I3"/>
    <mergeCell ref="K2:N2"/>
    <mergeCell ref="K5:O5"/>
    <mergeCell ref="A4:I4"/>
    <mergeCell ref="D5:J5"/>
  </mergeCells>
  <pageMargins left="0.75" right="0.75" top="1" bottom="1" header="0.5" footer="0.5"/>
  <pageSetup paperSize="9" fitToHeight="0" orientation="landscape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B5048-93C1-4A67-B8AC-0E11E0338E5D}">
  <sheetPr codeName="Sheet28">
    <pageSetUpPr fitToPage="1"/>
  </sheetPr>
  <dimension ref="A1:J17"/>
  <sheetViews>
    <sheetView topLeftCell="A5" workbookViewId="0">
      <selection activeCell="A4" sqref="A4:G17"/>
    </sheetView>
  </sheetViews>
  <sheetFormatPr defaultRowHeight="15" x14ac:dyDescent="0.25"/>
  <cols>
    <col min="1" max="1" width="12.7109375" customWidth="1"/>
    <col min="2" max="3" width="14.7109375" customWidth="1"/>
    <col min="4" max="4" width="19.7109375" customWidth="1"/>
    <col min="5" max="6" width="18.7109375" customWidth="1"/>
    <col min="7" max="7" width="14.7109375" customWidth="1"/>
    <col min="9" max="9" width="26.7109375" customWidth="1"/>
    <col min="10" max="10" width="17.7109375" customWidth="1"/>
  </cols>
  <sheetData>
    <row r="1" spans="1:10" x14ac:dyDescent="0.25">
      <c r="A1" s="296" t="s">
        <v>478</v>
      </c>
      <c r="B1" s="297"/>
      <c r="C1" s="297"/>
      <c r="D1" s="297"/>
      <c r="E1" s="297"/>
      <c r="F1" s="297"/>
      <c r="G1" s="297"/>
      <c r="H1" s="9"/>
      <c r="I1" s="9"/>
      <c r="J1" s="9"/>
    </row>
    <row r="2" spans="1:10" ht="27.75" customHeight="1" x14ac:dyDescent="0.25">
      <c r="A2" s="288" t="s">
        <v>479</v>
      </c>
      <c r="B2" s="276"/>
      <c r="C2" s="276"/>
      <c r="D2" s="276"/>
      <c r="E2" s="276"/>
      <c r="F2" s="276"/>
      <c r="G2" s="276"/>
      <c r="H2" s="9"/>
      <c r="I2" s="9"/>
      <c r="J2" s="9"/>
    </row>
    <row r="3" spans="1:10" x14ac:dyDescent="0.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10" ht="38.25" x14ac:dyDescent="0.25">
      <c r="A4" s="44" t="s">
        <v>45</v>
      </c>
      <c r="B4" s="44" t="s">
        <v>474</v>
      </c>
      <c r="C4" s="44" t="s">
        <v>182</v>
      </c>
      <c r="D4" s="44" t="s">
        <v>11</v>
      </c>
      <c r="E4" s="44" t="s">
        <v>12</v>
      </c>
      <c r="F4" s="44" t="str">
        <f>κ_Απόδ_Μπαταρία_2_5!M7</f>
        <v>Υπολειπόμενες / Περίσσεια (kWh)</v>
      </c>
      <c r="G4" s="44" t="s">
        <v>475</v>
      </c>
      <c r="H4" s="9"/>
      <c r="I4" s="289" t="s">
        <v>88</v>
      </c>
      <c r="J4" s="276"/>
    </row>
    <row r="5" spans="1:10" x14ac:dyDescent="0.25">
      <c r="A5" s="45" t="str">
        <f>κ_Απόδ_Μπαταρία_2_5!A8</f>
        <v>January</v>
      </c>
      <c r="B5" s="46">
        <f>κ_Απόδ_Μπαταρία_2_5!C8</f>
        <v>328.68</v>
      </c>
      <c r="C5" s="46">
        <f>κ_Απόδ_Μπαταρία_2_5!D8</f>
        <v>800</v>
      </c>
      <c r="D5" s="46">
        <f>κ_Απόδ_Μπαταρία_2_5!J8</f>
        <v>8.6800000000000068</v>
      </c>
      <c r="E5" s="46">
        <f>κ_Απόδ_Μπαταρία_2_5!K8</f>
        <v>328.68</v>
      </c>
      <c r="F5" s="46">
        <f>κ_Απόδ_Μπαταρία_2_5!M8</f>
        <v>0</v>
      </c>
      <c r="G5" s="47">
        <f>κ_Απόδ_Μπαταρία_2_5!O8</f>
        <v>65.736000000000004</v>
      </c>
      <c r="H5" s="9"/>
      <c r="I5" s="45" t="s">
        <v>0</v>
      </c>
      <c r="J5" s="45" t="str">
        <f>κ_Απόδ_Μπαταρία_2_5!O2</f>
        <v>Μπαταρία 2.5 kWh</v>
      </c>
    </row>
    <row r="6" spans="1:10" x14ac:dyDescent="0.25">
      <c r="A6" s="45" t="str">
        <f>κ_Απόδ_Μπαταρία_2_5!A9</f>
        <v>February</v>
      </c>
      <c r="B6" s="46">
        <f>κ_Απόδ_Μπαταρία_2_5!C9</f>
        <v>344.916</v>
      </c>
      <c r="C6" s="46">
        <f>κ_Απόδ_Μπαταρία_2_5!D9</f>
        <v>800</v>
      </c>
      <c r="D6" s="46">
        <f>κ_Απόδ_Μπαταρία_2_5!J9</f>
        <v>0</v>
      </c>
      <c r="E6" s="46">
        <f>κ_Απόδ_Μπαταρία_2_5!K9</f>
        <v>344.916</v>
      </c>
      <c r="F6" s="46">
        <f>κ_Απόδ_Μπαταρία_2_5!M9</f>
        <v>0</v>
      </c>
      <c r="G6" s="47">
        <f>κ_Απόδ_Μπαταρία_2_5!O9</f>
        <v>68.983199999999997</v>
      </c>
      <c r="H6" s="9"/>
      <c r="I6" s="45" t="s">
        <v>477</v>
      </c>
      <c r="J6" s="46">
        <f>κ_Απόδ_Μπαταρία_2_5!O3</f>
        <v>75</v>
      </c>
    </row>
    <row r="7" spans="1:10" x14ac:dyDescent="0.25">
      <c r="A7" s="45" t="str">
        <f>κ_Απόδ_Μπαταρία_2_5!A10</f>
        <v>March</v>
      </c>
      <c r="B7" s="46">
        <f>κ_Απόδ_Μπαταρία_2_5!C10</f>
        <v>464.904</v>
      </c>
      <c r="C7" s="46">
        <f>κ_Απόδ_Μπαταρία_2_5!D10</f>
        <v>800</v>
      </c>
      <c r="D7" s="46">
        <f>κ_Απόδ_Μπαταρία_2_5!J10</f>
        <v>0</v>
      </c>
      <c r="E7" s="46">
        <f>κ_Απόδ_Μπαταρία_2_5!K10</f>
        <v>464.904</v>
      </c>
      <c r="F7" s="46">
        <f>κ_Απόδ_Μπαταρία_2_5!M10</f>
        <v>0</v>
      </c>
      <c r="G7" s="47">
        <f>κ_Απόδ_Μπαταρία_2_5!O10</f>
        <v>92.980800000000002</v>
      </c>
      <c r="H7" s="9"/>
      <c r="I7" s="45" t="s">
        <v>4</v>
      </c>
      <c r="J7" s="46">
        <f>κ_Απόδ_Μπαταρία_2_5!J4/1000</f>
        <v>3.96</v>
      </c>
    </row>
    <row r="8" spans="1:10" x14ac:dyDescent="0.25">
      <c r="A8" s="45" t="str">
        <f>κ_Απόδ_Μπαταρία_2_5!A11</f>
        <v>April</v>
      </c>
      <c r="B8" s="46">
        <f>κ_Απόδ_Μπαταρία_2_5!C11</f>
        <v>532.62</v>
      </c>
      <c r="C8" s="46">
        <f>κ_Απόδ_Μπαταρία_2_5!D11</f>
        <v>450</v>
      </c>
      <c r="D8" s="46">
        <f>κ_Απόδ_Μπαταρία_2_5!J11</f>
        <v>75</v>
      </c>
      <c r="E8" s="46">
        <f>κ_Απόδ_Μπαταρία_2_5!K11</f>
        <v>390</v>
      </c>
      <c r="F8" s="46">
        <f>κ_Απόδ_Μπαταρία_2_5!M11</f>
        <v>142.62</v>
      </c>
      <c r="G8" s="47">
        <f>κ_Απόδ_Μπαταρία_2_5!O11</f>
        <v>86.557199999999995</v>
      </c>
      <c r="H8" s="9"/>
      <c r="I8" s="45" t="s">
        <v>7</v>
      </c>
      <c r="J8" s="47">
        <f>κ_Απόδ_Μπαταρία_2_5!O4</f>
        <v>4851.2</v>
      </c>
    </row>
    <row r="9" spans="1:10" x14ac:dyDescent="0.25">
      <c r="A9" s="45" t="str">
        <f>κ_Απόδ_Μπαταρία_2_5!A12</f>
        <v>May</v>
      </c>
      <c r="B9" s="46">
        <f>κ_Απόδ_Μπαταρία_2_5!C12</f>
        <v>594.39599999999996</v>
      </c>
      <c r="C9" s="46">
        <f>κ_Απόδ_Μπαταρία_2_5!D12</f>
        <v>400</v>
      </c>
      <c r="D9" s="46">
        <f>κ_Απόδ_Μπαταρία_2_5!J12</f>
        <v>75</v>
      </c>
      <c r="E9" s="46">
        <f>κ_Απόδ_Μπαταρία_2_5!K12</f>
        <v>355</v>
      </c>
      <c r="F9" s="46">
        <f>κ_Απόδ_Μπαταρία_2_5!M12</f>
        <v>239.39599999999996</v>
      </c>
      <c r="G9" s="47">
        <f>κ_Απόδ_Μπαταρία_2_5!O12</f>
        <v>85.363759999999999</v>
      </c>
      <c r="H9" s="9"/>
      <c r="I9" s="45" t="s">
        <v>3</v>
      </c>
      <c r="J9" s="47">
        <f>κ_Απόδ_Μπαταρία_2_5!B23</f>
        <v>1200</v>
      </c>
    </row>
    <row r="10" spans="1:10" x14ac:dyDescent="0.25">
      <c r="A10" s="45" t="str">
        <f>κ_Απόδ_Μπαταρία_2_5!A13</f>
        <v>June</v>
      </c>
      <c r="B10" s="46">
        <f>κ_Απόδ_Μπαταρία_2_5!C13</f>
        <v>618.15599999999995</v>
      </c>
      <c r="C10" s="46">
        <f>κ_Απόδ_Μπαταρία_2_5!D13</f>
        <v>450</v>
      </c>
      <c r="D10" s="46">
        <f>κ_Απόδ_Μπαταρία_2_5!J13</f>
        <v>75</v>
      </c>
      <c r="E10" s="46">
        <f>κ_Απόδ_Μπαταρία_2_5!K13</f>
        <v>390</v>
      </c>
      <c r="F10" s="46">
        <f>κ_Απόδ_Μπαταρία_2_5!M13</f>
        <v>228.15599999999995</v>
      </c>
      <c r="G10" s="47">
        <f>κ_Απόδ_Μπαταρία_2_5!O13</f>
        <v>91.689359999999994</v>
      </c>
      <c r="H10" s="9"/>
      <c r="I10" s="45" t="s">
        <v>20</v>
      </c>
      <c r="J10" s="47">
        <f>κ_Απόδ_Μπαταρία_2_5!J23</f>
        <v>14371.474979400929</v>
      </c>
    </row>
    <row r="11" spans="1:10" x14ac:dyDescent="0.25">
      <c r="A11" s="45" t="str">
        <f>κ_Απόδ_Μπαταρία_2_5!A14</f>
        <v>July</v>
      </c>
      <c r="B11" s="46">
        <f>κ_Απόδ_Μπαταρία_2_5!C14</f>
        <v>674.38800000000003</v>
      </c>
      <c r="C11" s="46">
        <f>κ_Απόδ_Μπαταρία_2_5!D14</f>
        <v>600</v>
      </c>
      <c r="D11" s="46">
        <f>κ_Απόδ_Μπαταρία_2_5!J14</f>
        <v>75</v>
      </c>
      <c r="E11" s="46">
        <f>κ_Απόδ_Μπαταρία_2_5!K14</f>
        <v>495</v>
      </c>
      <c r="F11" s="46">
        <f>κ_Απόδ_Μπαταρία_2_5!M14</f>
        <v>179.38800000000003</v>
      </c>
      <c r="G11" s="47">
        <f>κ_Απόδ_Μπαταρία_2_5!O14</f>
        <v>109.76328000000001</v>
      </c>
      <c r="H11" s="9"/>
      <c r="I11" s="45" t="s">
        <v>21</v>
      </c>
      <c r="J11" s="48">
        <f>κ_Απόδ_Μπαταρία_2_5!L23</f>
        <v>0.20086946441432948</v>
      </c>
    </row>
    <row r="12" spans="1:10" x14ac:dyDescent="0.25">
      <c r="A12" s="45" t="str">
        <f>κ_Απόδ_Μπαταρία_2_5!A15</f>
        <v>August</v>
      </c>
      <c r="B12" s="46">
        <f>κ_Απόδ_Μπαταρία_2_5!C15</f>
        <v>641.52</v>
      </c>
      <c r="C12" s="46">
        <f>κ_Απόδ_Μπαταρία_2_5!D15</f>
        <v>600</v>
      </c>
      <c r="D12" s="46">
        <f>κ_Απόδ_Μπαταρία_2_5!J15</f>
        <v>75</v>
      </c>
      <c r="E12" s="46">
        <f>κ_Απόδ_Μπαταρία_2_5!K15</f>
        <v>495</v>
      </c>
      <c r="F12" s="46">
        <f>κ_Απόδ_Μπαταρία_2_5!M15</f>
        <v>146.51999999999998</v>
      </c>
      <c r="G12" s="47">
        <f>κ_Απόδ_Μπαταρία_2_5!O15</f>
        <v>107.7912</v>
      </c>
      <c r="H12" s="9"/>
      <c r="I12" s="45" t="s">
        <v>23</v>
      </c>
      <c r="J12" s="49">
        <f>κ_Απόδ_Μπαταρία_2_5!N23</f>
        <v>5.2406026895231541</v>
      </c>
    </row>
    <row r="13" spans="1:10" x14ac:dyDescent="0.25">
      <c r="A13" s="45" t="str">
        <f>κ_Απόδ_Μπαταρία_2_5!A16</f>
        <v>September</v>
      </c>
      <c r="B13" s="46">
        <f>κ_Απόδ_Μπαταρία_2_5!C16</f>
        <v>514.404</v>
      </c>
      <c r="C13" s="46">
        <f>κ_Απόδ_Μπαταρία_2_5!D16</f>
        <v>400</v>
      </c>
      <c r="D13" s="46">
        <f>κ_Απόδ_Μπαταρία_2_5!J16</f>
        <v>75</v>
      </c>
      <c r="E13" s="46">
        <f>κ_Απόδ_Μπαταρία_2_5!K16</f>
        <v>315</v>
      </c>
      <c r="F13" s="46">
        <f>κ_Απόδ_Μπαταρία_2_5!M16</f>
        <v>199.404</v>
      </c>
      <c r="G13" s="47">
        <f>κ_Απόδ_Μπαταρία_2_5!O16</f>
        <v>74.964240000000004</v>
      </c>
      <c r="H13" s="9"/>
      <c r="I13" s="45" t="s">
        <v>19</v>
      </c>
      <c r="J13" s="47">
        <f>κ_Απόδ_Μπαταρία_2_5!O21</f>
        <v>984.59384</v>
      </c>
    </row>
    <row r="14" spans="1:10" x14ac:dyDescent="0.25">
      <c r="A14" s="45" t="str">
        <f>κ_Απόδ_Μπαταρία_2_5!A17</f>
        <v>October</v>
      </c>
      <c r="B14" s="46">
        <f>κ_Απόδ_Μπαταρία_2_5!C17</f>
        <v>411.84</v>
      </c>
      <c r="C14" s="46">
        <f>κ_Απόδ_Μπαταρία_2_5!D17</f>
        <v>600</v>
      </c>
      <c r="D14" s="46">
        <f>κ_Απόδ_Μπαταρία_2_5!J17</f>
        <v>75</v>
      </c>
      <c r="E14" s="46">
        <f>κ_Απόδ_Μπαταρία_2_5!K17</f>
        <v>405</v>
      </c>
      <c r="F14" s="46">
        <f>κ_Απόδ_Μπαταρία_2_5!M17</f>
        <v>6.839999999999975</v>
      </c>
      <c r="G14" s="47">
        <f>κ_Απόδ_Μπαταρία_2_5!O17</f>
        <v>81.410399999999996</v>
      </c>
      <c r="H14" s="9"/>
      <c r="I14" s="9"/>
      <c r="J14" s="9"/>
    </row>
    <row r="15" spans="1:10" x14ac:dyDescent="0.25">
      <c r="A15" s="45" t="str">
        <f>κ_Απόδ_Μπαταρία_2_5!A18</f>
        <v>November</v>
      </c>
      <c r="B15" s="46">
        <f>κ_Απόδ_Μπαταρία_2_5!C18</f>
        <v>306.50400000000002</v>
      </c>
      <c r="C15" s="46">
        <f>κ_Απόδ_Μπαταρία_2_5!D18</f>
        <v>800</v>
      </c>
      <c r="D15" s="46">
        <f>κ_Απόδ_Μπαταρία_2_5!J18</f>
        <v>0</v>
      </c>
      <c r="E15" s="46">
        <f>κ_Απόδ_Μπαταρία_2_5!K18</f>
        <v>306.50400000000002</v>
      </c>
      <c r="F15" s="46">
        <f>κ_Απόδ_Μπαταρία_2_5!M18</f>
        <v>0</v>
      </c>
      <c r="G15" s="47">
        <f>κ_Απόδ_Μπαταρία_2_5!O18</f>
        <v>61.30080000000001</v>
      </c>
      <c r="H15" s="9"/>
      <c r="I15" s="9"/>
      <c r="J15" s="9"/>
    </row>
    <row r="16" spans="1:10" x14ac:dyDescent="0.25">
      <c r="A16" s="45" t="str">
        <f>κ_Απόδ_Μπαταρία_2_5!A19</f>
        <v>December</v>
      </c>
      <c r="B16" s="46">
        <f>κ_Απόδ_Μπαταρία_2_5!C19</f>
        <v>290.26799999999997</v>
      </c>
      <c r="C16" s="46">
        <f>κ_Απόδ_Μπαταρία_2_5!D19</f>
        <v>800</v>
      </c>
      <c r="D16" s="46">
        <f>κ_Απόδ_Μπαταρία_2_5!J19</f>
        <v>0</v>
      </c>
      <c r="E16" s="46">
        <f>κ_Απόδ_Μπαταρία_2_5!K19</f>
        <v>290.26799999999997</v>
      </c>
      <c r="F16" s="46">
        <f>κ_Απόδ_Μπαταρία_2_5!M19</f>
        <v>0</v>
      </c>
      <c r="G16" s="47">
        <f>κ_Απόδ_Μπαταρία_2_5!O19</f>
        <v>58.053599999999996</v>
      </c>
      <c r="H16" s="9"/>
      <c r="I16" s="9"/>
      <c r="J16" s="9"/>
    </row>
    <row r="17" spans="1:10" ht="25.5" x14ac:dyDescent="0.25">
      <c r="A17" s="50" t="s">
        <v>476</v>
      </c>
      <c r="B17" s="51">
        <f>κ_Απόδ_Μπαταρία_2_5!C21</f>
        <v>5722.5960000000005</v>
      </c>
      <c r="C17" s="51">
        <f>κ_Απόδ_Μπαταρία_2_5!D21</f>
        <v>7500</v>
      </c>
      <c r="D17" s="51">
        <f>κ_Απόδ_Μπαταρία_2_5!J21</f>
        <v>533.68000000000006</v>
      </c>
      <c r="E17" s="51">
        <f>κ_Απόδ_Μπαταρία_2_5!K21</f>
        <v>4580.2719999999999</v>
      </c>
      <c r="F17" s="51">
        <f>κ_Απόδ_Μπαταρία_2_5!M21</f>
        <v>1142.3239999999998</v>
      </c>
      <c r="G17" s="52">
        <f>κ_Απόδ_Μπαταρία_2_5!O21</f>
        <v>984.59384</v>
      </c>
      <c r="H17" s="9"/>
      <c r="I17" s="9"/>
      <c r="J17" s="9"/>
    </row>
  </sheetData>
  <sheetProtection sheet="1" objects="1" scenarios="1"/>
  <mergeCells count="3">
    <mergeCell ref="A1:G1"/>
    <mergeCell ref="A2:G2"/>
    <mergeCell ref="I4:J4"/>
  </mergeCells>
  <pageMargins left="0.7" right="0.7" top="0.75" bottom="0.75" header="0.3" footer="0.3"/>
  <pageSetup paperSize="9" fitToHeight="0" orientation="landscape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>
    <pageSetUpPr fitToPage="1"/>
  </sheetPr>
  <dimension ref="A1:O23"/>
  <sheetViews>
    <sheetView showGridLines="0" zoomScaleNormal="100" workbookViewId="0">
      <selection activeCell="O17" sqref="O17"/>
    </sheetView>
  </sheetViews>
  <sheetFormatPr defaultRowHeight="15" x14ac:dyDescent="0.25"/>
  <cols>
    <col min="1" max="1" width="14.85546875" bestFit="1" customWidth="1"/>
    <col min="2" max="2" width="10.7109375" bestFit="1" customWidth="1"/>
    <col min="3" max="3" width="16.28515625" bestFit="1" customWidth="1"/>
    <col min="4" max="4" width="13.42578125" customWidth="1"/>
    <col min="5" max="5" width="19.85546875" bestFit="1" customWidth="1"/>
    <col min="6" max="6" width="14.42578125" bestFit="1" customWidth="1"/>
    <col min="7" max="7" width="23.5703125" bestFit="1" customWidth="1"/>
    <col min="8" max="8" width="14.7109375" customWidth="1"/>
    <col min="9" max="9" width="13.28515625" customWidth="1"/>
    <col min="10" max="10" width="13.42578125" bestFit="1" customWidth="1"/>
    <col min="11" max="12" width="14" customWidth="1"/>
    <col min="13" max="13" width="14.42578125" customWidth="1"/>
    <col min="14" max="14" width="15" customWidth="1"/>
    <col min="15" max="15" width="18.5703125" bestFit="1" customWidth="1"/>
  </cols>
  <sheetData>
    <row r="1" spans="1:15" ht="26.25" customHeight="1" x14ac:dyDescent="0.25">
      <c r="A1" s="294" t="s">
        <v>239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2"/>
    </row>
    <row r="2" spans="1:15" ht="18.75" customHeight="1" x14ac:dyDescent="0.25">
      <c r="A2" s="290" t="s">
        <v>214</v>
      </c>
      <c r="B2" s="291"/>
      <c r="C2" s="291"/>
      <c r="D2" s="291"/>
      <c r="E2" s="291"/>
      <c r="F2" s="291"/>
      <c r="G2" s="291"/>
      <c r="H2" s="291"/>
      <c r="I2" s="292"/>
      <c r="J2" s="74">
        <f>ι_Μοντέλο_Ελέγχου_α!$B$8</f>
        <v>0.2</v>
      </c>
      <c r="K2" s="290" t="s">
        <v>211</v>
      </c>
      <c r="L2" s="291"/>
      <c r="M2" s="291"/>
      <c r="N2" s="292"/>
      <c r="O2" s="75" t="str">
        <f>ιγ_Αποτελέσματα_Σεναρίων!$A$4</f>
        <v>Μπαταρία 2.5 kWh</v>
      </c>
    </row>
    <row r="3" spans="1:15" ht="18.75" customHeight="1" x14ac:dyDescent="0.25">
      <c r="A3" s="290" t="s">
        <v>215</v>
      </c>
      <c r="B3" s="291"/>
      <c r="C3" s="291"/>
      <c r="D3" s="291"/>
      <c r="E3" s="291"/>
      <c r="F3" s="291"/>
      <c r="G3" s="291"/>
      <c r="H3" s="291"/>
      <c r="I3" s="292"/>
      <c r="J3" s="74">
        <f>ι_Μοντέλο_Ελέγχου_α!$B$9</f>
        <v>0.06</v>
      </c>
      <c r="K3" s="290" t="s">
        <v>216</v>
      </c>
      <c r="L3" s="291"/>
      <c r="M3" s="291"/>
      <c r="N3" s="292"/>
      <c r="O3" s="76">
        <f>ιγ_Αποτελέσματα_Σεναρίων!$C$4</f>
        <v>75</v>
      </c>
    </row>
    <row r="4" spans="1:15" ht="18.75" customHeight="1" x14ac:dyDescent="0.25">
      <c r="A4" s="290" t="s">
        <v>240</v>
      </c>
      <c r="B4" s="291"/>
      <c r="C4" s="291"/>
      <c r="D4" s="291"/>
      <c r="E4" s="291"/>
      <c r="F4" s="291"/>
      <c r="G4" s="291"/>
      <c r="H4" s="291"/>
      <c r="I4" s="292"/>
      <c r="J4" s="77">
        <f>ιγ_Αποτελέσματα_Σεναρίων!$E$4*1000</f>
        <v>3960</v>
      </c>
      <c r="K4" s="290" t="s">
        <v>218</v>
      </c>
      <c r="L4" s="291"/>
      <c r="M4" s="291"/>
      <c r="N4" s="292"/>
      <c r="O4" s="78">
        <f>ιγ_Αποτελέσματα_Σεναρίων!$H$4</f>
        <v>4851.2</v>
      </c>
    </row>
    <row r="5" spans="1:15" ht="31.5" customHeight="1" x14ac:dyDescent="0.25">
      <c r="A5" s="73"/>
      <c r="B5" s="293" t="s">
        <v>219</v>
      </c>
      <c r="C5" s="292"/>
      <c r="D5" s="295" t="s">
        <v>241</v>
      </c>
      <c r="E5" s="291"/>
      <c r="F5" s="291"/>
      <c r="G5" s="291"/>
      <c r="H5" s="291"/>
      <c r="I5" s="291"/>
      <c r="J5" s="292"/>
      <c r="K5" s="295" t="s">
        <v>221</v>
      </c>
      <c r="L5" s="291"/>
      <c r="M5" s="291"/>
      <c r="N5" s="291"/>
      <c r="O5" s="292"/>
    </row>
    <row r="6" spans="1:15" ht="30" customHeight="1" x14ac:dyDescent="0.25">
      <c r="A6" s="79">
        <v>1</v>
      </c>
      <c r="B6" s="67">
        <v>2</v>
      </c>
      <c r="C6" s="67">
        <v>3</v>
      </c>
      <c r="D6" s="80">
        <v>4</v>
      </c>
      <c r="E6" s="80">
        <v>5</v>
      </c>
      <c r="F6" s="80">
        <v>6</v>
      </c>
      <c r="G6" s="80">
        <v>7</v>
      </c>
      <c r="H6" s="80">
        <v>8</v>
      </c>
      <c r="I6" s="80">
        <v>9</v>
      </c>
      <c r="J6" s="80">
        <v>10</v>
      </c>
      <c r="K6" s="80">
        <v>11</v>
      </c>
      <c r="L6" s="80">
        <v>12</v>
      </c>
      <c r="M6" s="80">
        <v>13</v>
      </c>
      <c r="N6" s="80">
        <v>14</v>
      </c>
      <c r="O6" s="80">
        <v>15</v>
      </c>
    </row>
    <row r="7" spans="1:15" ht="60" customHeight="1" x14ac:dyDescent="0.25">
      <c r="A7" s="68" t="s">
        <v>222</v>
      </c>
      <c r="B7" s="66" t="s">
        <v>223</v>
      </c>
      <c r="C7" s="66" t="s">
        <v>224</v>
      </c>
      <c r="D7" s="69" t="s">
        <v>225</v>
      </c>
      <c r="E7" s="69" t="s">
        <v>226</v>
      </c>
      <c r="F7" s="69" t="s">
        <v>227</v>
      </c>
      <c r="G7" s="69" t="s">
        <v>242</v>
      </c>
      <c r="H7" s="70" t="s">
        <v>243</v>
      </c>
      <c r="I7" s="69" t="s">
        <v>216</v>
      </c>
      <c r="J7" s="69" t="s">
        <v>230</v>
      </c>
      <c r="K7" s="69" t="s">
        <v>231</v>
      </c>
      <c r="L7" s="69" t="s">
        <v>244</v>
      </c>
      <c r="M7" s="69" t="s">
        <v>245</v>
      </c>
      <c r="N7" s="69" t="s">
        <v>233</v>
      </c>
      <c r="O7" s="69" t="s">
        <v>234</v>
      </c>
    </row>
    <row r="8" spans="1:15" x14ac:dyDescent="0.25">
      <c r="A8" s="71" t="str">
        <f>'Απόδοση Εγκατάστασης'!$A$8</f>
        <v>January</v>
      </c>
      <c r="B8" s="72">
        <f>'Απόδοση Εγκατάστασης'!$B$8</f>
        <v>83</v>
      </c>
      <c r="C8" s="72">
        <f t="shared" ref="C8:C19" si="0">B8*J$4/1000</f>
        <v>328.68</v>
      </c>
      <c r="D8" s="81">
        <f>ι_Μοντέλο_Ελέγχου_α!$C$22</f>
        <v>800</v>
      </c>
      <c r="E8" s="82">
        <f>'Απόδοση Εγκατάστασης'!$E$8</f>
        <v>0.4</v>
      </c>
      <c r="F8" s="83">
        <f t="shared" ref="F8:F19" si="1">MIN(C8,E8*D8)</f>
        <v>320</v>
      </c>
      <c r="G8" s="83">
        <f t="shared" ref="G8:G19" si="2">D8-F8</f>
        <v>480</v>
      </c>
      <c r="H8" s="83">
        <f t="shared" ref="H8:H19" si="3">MAX(C8-F8,0)</f>
        <v>8.6800000000000068</v>
      </c>
      <c r="I8" s="83">
        <f t="shared" ref="I8:I19" si="4">$O$3</f>
        <v>75</v>
      </c>
      <c r="J8" s="83">
        <f t="shared" ref="J8:J19" si="5">MIN(I8,H8,G8)</f>
        <v>8.6800000000000068</v>
      </c>
      <c r="K8" s="83">
        <f t="shared" ref="K8:K19" si="6">F8+J8</f>
        <v>328.68</v>
      </c>
      <c r="L8" s="83">
        <f t="shared" ref="L8:L19" si="7">D8-K8</f>
        <v>471.32</v>
      </c>
      <c r="M8" s="83">
        <f t="shared" ref="M8:M19" si="8">MAX(C8-K8,0)</f>
        <v>0</v>
      </c>
      <c r="N8" s="83">
        <f t="shared" ref="N8:N19" si="9">M8*J$3</f>
        <v>0</v>
      </c>
      <c r="O8" s="83">
        <f t="shared" ref="O8:O19" si="10">K8*J$2+N8</f>
        <v>65.736000000000004</v>
      </c>
    </row>
    <row r="9" spans="1:15" x14ac:dyDescent="0.25">
      <c r="A9" s="71" t="str">
        <f>'Απόδοση Εγκατάστασης'!$A$9</f>
        <v>February</v>
      </c>
      <c r="B9" s="72">
        <f>'Απόδοση Εγκατάστασης'!$B$9</f>
        <v>87.1</v>
      </c>
      <c r="C9" s="72">
        <f t="shared" si="0"/>
        <v>344.916</v>
      </c>
      <c r="D9" s="81">
        <f>ι_Μοντέλο_Ελέγχου_α!$C$23</f>
        <v>800</v>
      </c>
      <c r="E9" s="82">
        <f>'Απόδοση Εγκατάστασης'!$E$9</f>
        <v>0.5</v>
      </c>
      <c r="F9" s="83">
        <f t="shared" si="1"/>
        <v>344.916</v>
      </c>
      <c r="G9" s="83">
        <f t="shared" si="2"/>
        <v>455.084</v>
      </c>
      <c r="H9" s="83">
        <f t="shared" si="3"/>
        <v>0</v>
      </c>
      <c r="I9" s="83">
        <f t="shared" si="4"/>
        <v>75</v>
      </c>
      <c r="J9" s="83">
        <f t="shared" si="5"/>
        <v>0</v>
      </c>
      <c r="K9" s="83">
        <f t="shared" si="6"/>
        <v>344.916</v>
      </c>
      <c r="L9" s="83">
        <f t="shared" si="7"/>
        <v>455.084</v>
      </c>
      <c r="M9" s="83">
        <f t="shared" si="8"/>
        <v>0</v>
      </c>
      <c r="N9" s="83">
        <f t="shared" si="9"/>
        <v>0</v>
      </c>
      <c r="O9" s="83">
        <f t="shared" si="10"/>
        <v>68.983199999999997</v>
      </c>
    </row>
    <row r="10" spans="1:15" x14ac:dyDescent="0.25">
      <c r="A10" s="71" t="str">
        <f>'Απόδοση Εγκατάστασης'!$A$10</f>
        <v>March</v>
      </c>
      <c r="B10" s="72">
        <f>'Απόδοση Εγκατάστασης'!$B$10</f>
        <v>117.4</v>
      </c>
      <c r="C10" s="72">
        <f t="shared" si="0"/>
        <v>464.904</v>
      </c>
      <c r="D10" s="81">
        <f>ι_Μοντέλο_Ελέγχου_α!$C$24</f>
        <v>800</v>
      </c>
      <c r="E10" s="82">
        <f>'Απόδοση Εγκατάστασης'!$E$10</f>
        <v>0.6</v>
      </c>
      <c r="F10" s="83">
        <f t="shared" si="1"/>
        <v>464.904</v>
      </c>
      <c r="G10" s="83">
        <f t="shared" si="2"/>
        <v>335.096</v>
      </c>
      <c r="H10" s="83">
        <f t="shared" si="3"/>
        <v>0</v>
      </c>
      <c r="I10" s="83">
        <f t="shared" si="4"/>
        <v>75</v>
      </c>
      <c r="J10" s="83">
        <f t="shared" si="5"/>
        <v>0</v>
      </c>
      <c r="K10" s="83">
        <f t="shared" si="6"/>
        <v>464.904</v>
      </c>
      <c r="L10" s="83">
        <f t="shared" si="7"/>
        <v>335.096</v>
      </c>
      <c r="M10" s="83">
        <f t="shared" si="8"/>
        <v>0</v>
      </c>
      <c r="N10" s="83">
        <f t="shared" si="9"/>
        <v>0</v>
      </c>
      <c r="O10" s="83">
        <f t="shared" si="10"/>
        <v>92.980800000000002</v>
      </c>
    </row>
    <row r="11" spans="1:15" x14ac:dyDescent="0.25">
      <c r="A11" s="71" t="str">
        <f>'Απόδοση Εγκατάστασης'!$A$11</f>
        <v>April</v>
      </c>
      <c r="B11" s="72">
        <f>'Απόδοση Εγκατάστασης'!$B$11</f>
        <v>134.5</v>
      </c>
      <c r="C11" s="72">
        <f t="shared" si="0"/>
        <v>532.62</v>
      </c>
      <c r="D11" s="81">
        <f>ι_Μοντέλο_Ελέγχου_α!$C$25</f>
        <v>450</v>
      </c>
      <c r="E11" s="82">
        <f>'Απόδοση Εγκατάστασης'!$E$11</f>
        <v>0.7</v>
      </c>
      <c r="F11" s="83">
        <f t="shared" si="1"/>
        <v>315</v>
      </c>
      <c r="G11" s="83">
        <f t="shared" si="2"/>
        <v>135</v>
      </c>
      <c r="H11" s="83">
        <f t="shared" si="3"/>
        <v>217.62</v>
      </c>
      <c r="I11" s="83">
        <f t="shared" si="4"/>
        <v>75</v>
      </c>
      <c r="J11" s="83">
        <f t="shared" si="5"/>
        <v>75</v>
      </c>
      <c r="K11" s="83">
        <f t="shared" si="6"/>
        <v>390</v>
      </c>
      <c r="L11" s="83">
        <f t="shared" si="7"/>
        <v>60</v>
      </c>
      <c r="M11" s="83">
        <f t="shared" si="8"/>
        <v>142.62</v>
      </c>
      <c r="N11" s="83">
        <f t="shared" si="9"/>
        <v>8.5571999999999999</v>
      </c>
      <c r="O11" s="83">
        <f t="shared" si="10"/>
        <v>86.557199999999995</v>
      </c>
    </row>
    <row r="12" spans="1:15" x14ac:dyDescent="0.25">
      <c r="A12" s="71" t="str">
        <f>'Απόδοση Εγκατάστασης'!$A$12</f>
        <v>May</v>
      </c>
      <c r="B12" s="72">
        <f>'Απόδοση Εγκατάστασης'!$B$12</f>
        <v>150.1</v>
      </c>
      <c r="C12" s="72">
        <f t="shared" si="0"/>
        <v>594.39599999999996</v>
      </c>
      <c r="D12" s="81">
        <f>ι_Μοντέλο_Ελέγχου_α!$C$26</f>
        <v>400</v>
      </c>
      <c r="E12" s="82">
        <f>'Απόδοση Εγκατάστασης'!$E$12</f>
        <v>0.7</v>
      </c>
      <c r="F12" s="83">
        <f t="shared" si="1"/>
        <v>280</v>
      </c>
      <c r="G12" s="83">
        <f t="shared" si="2"/>
        <v>120</v>
      </c>
      <c r="H12" s="83">
        <f t="shared" si="3"/>
        <v>314.39599999999996</v>
      </c>
      <c r="I12" s="83">
        <f t="shared" si="4"/>
        <v>75</v>
      </c>
      <c r="J12" s="83">
        <f t="shared" si="5"/>
        <v>75</v>
      </c>
      <c r="K12" s="83">
        <f t="shared" si="6"/>
        <v>355</v>
      </c>
      <c r="L12" s="83">
        <f t="shared" si="7"/>
        <v>45</v>
      </c>
      <c r="M12" s="83">
        <f t="shared" si="8"/>
        <v>239.39599999999996</v>
      </c>
      <c r="N12" s="83">
        <f t="shared" si="9"/>
        <v>14.363759999999997</v>
      </c>
      <c r="O12" s="83">
        <f t="shared" si="10"/>
        <v>85.363759999999999</v>
      </c>
    </row>
    <row r="13" spans="1:15" x14ac:dyDescent="0.25">
      <c r="A13" s="71" t="str">
        <f>'Απόδοση Εγκατάστασης'!$A$13</f>
        <v>June</v>
      </c>
      <c r="B13" s="72">
        <f>'Απόδοση Εγκατάστασης'!$B$13</f>
        <v>156.1</v>
      </c>
      <c r="C13" s="72">
        <f t="shared" si="0"/>
        <v>618.15599999999995</v>
      </c>
      <c r="D13" s="81">
        <f>ι_Μοντέλο_Ελέγχου_α!$C$27</f>
        <v>450</v>
      </c>
      <c r="E13" s="82">
        <f>'Απόδοση Εγκατάστασης'!$E$13</f>
        <v>0.7</v>
      </c>
      <c r="F13" s="83">
        <f t="shared" si="1"/>
        <v>315</v>
      </c>
      <c r="G13" s="83">
        <f t="shared" si="2"/>
        <v>135</v>
      </c>
      <c r="H13" s="83">
        <f t="shared" si="3"/>
        <v>303.15599999999995</v>
      </c>
      <c r="I13" s="83">
        <f t="shared" si="4"/>
        <v>75</v>
      </c>
      <c r="J13" s="83">
        <f t="shared" si="5"/>
        <v>75</v>
      </c>
      <c r="K13" s="83">
        <f t="shared" si="6"/>
        <v>390</v>
      </c>
      <c r="L13" s="83">
        <f t="shared" si="7"/>
        <v>60</v>
      </c>
      <c r="M13" s="83">
        <f t="shared" si="8"/>
        <v>228.15599999999995</v>
      </c>
      <c r="N13" s="83">
        <f t="shared" si="9"/>
        <v>13.689359999999997</v>
      </c>
      <c r="O13" s="83">
        <f t="shared" si="10"/>
        <v>91.689359999999994</v>
      </c>
    </row>
    <row r="14" spans="1:15" x14ac:dyDescent="0.25">
      <c r="A14" s="71" t="str">
        <f>'Απόδοση Εγκατάστασης'!$A$14</f>
        <v>July</v>
      </c>
      <c r="B14" s="72">
        <f>'Απόδοση Εγκατάστασης'!$B$14</f>
        <v>170.3</v>
      </c>
      <c r="C14" s="72">
        <f t="shared" si="0"/>
        <v>674.38800000000003</v>
      </c>
      <c r="D14" s="81">
        <f>ι_Μοντέλο_Ελέγχου_α!$C$28</f>
        <v>600</v>
      </c>
      <c r="E14" s="82">
        <f>'Απόδοση Εγκατάστασης'!$E$14</f>
        <v>0.7</v>
      </c>
      <c r="F14" s="83">
        <f t="shared" si="1"/>
        <v>420</v>
      </c>
      <c r="G14" s="83">
        <f t="shared" si="2"/>
        <v>180</v>
      </c>
      <c r="H14" s="83">
        <f t="shared" si="3"/>
        <v>254.38800000000003</v>
      </c>
      <c r="I14" s="83">
        <f t="shared" si="4"/>
        <v>75</v>
      </c>
      <c r="J14" s="83">
        <f t="shared" si="5"/>
        <v>75</v>
      </c>
      <c r="K14" s="83">
        <f t="shared" si="6"/>
        <v>495</v>
      </c>
      <c r="L14" s="83">
        <f t="shared" si="7"/>
        <v>105</v>
      </c>
      <c r="M14" s="83">
        <f t="shared" si="8"/>
        <v>179.38800000000003</v>
      </c>
      <c r="N14" s="83">
        <f t="shared" si="9"/>
        <v>10.763280000000002</v>
      </c>
      <c r="O14" s="83">
        <f t="shared" si="10"/>
        <v>109.76328000000001</v>
      </c>
    </row>
    <row r="15" spans="1:15" x14ac:dyDescent="0.25">
      <c r="A15" s="71" t="str">
        <f>'Απόδοση Εγκατάστασης'!$A$15</f>
        <v>August</v>
      </c>
      <c r="B15" s="72">
        <f>'Απόδοση Εγκατάστασης'!$B$15</f>
        <v>162</v>
      </c>
      <c r="C15" s="72">
        <f t="shared" si="0"/>
        <v>641.52</v>
      </c>
      <c r="D15" s="81">
        <f>ι_Μοντέλο_Ελέγχου_α!$C$29</f>
        <v>600</v>
      </c>
      <c r="E15" s="82">
        <f>'Απόδοση Εγκατάστασης'!$E$15</f>
        <v>0.7</v>
      </c>
      <c r="F15" s="83">
        <f t="shared" si="1"/>
        <v>420</v>
      </c>
      <c r="G15" s="83">
        <f t="shared" si="2"/>
        <v>180</v>
      </c>
      <c r="H15" s="83">
        <f t="shared" si="3"/>
        <v>221.51999999999998</v>
      </c>
      <c r="I15" s="83">
        <f t="shared" si="4"/>
        <v>75</v>
      </c>
      <c r="J15" s="83">
        <f t="shared" si="5"/>
        <v>75</v>
      </c>
      <c r="K15" s="83">
        <f t="shared" si="6"/>
        <v>495</v>
      </c>
      <c r="L15" s="83">
        <f t="shared" si="7"/>
        <v>105</v>
      </c>
      <c r="M15" s="83">
        <f t="shared" si="8"/>
        <v>146.51999999999998</v>
      </c>
      <c r="N15" s="83">
        <f t="shared" si="9"/>
        <v>8.7911999999999981</v>
      </c>
      <c r="O15" s="83">
        <f t="shared" si="10"/>
        <v>107.7912</v>
      </c>
    </row>
    <row r="16" spans="1:15" x14ac:dyDescent="0.25">
      <c r="A16" s="71" t="str">
        <f>'Απόδοση Εγκατάστασης'!$A$16</f>
        <v>September</v>
      </c>
      <c r="B16" s="72">
        <f>'Απόδοση Εγκατάστασης'!$B$16</f>
        <v>129.9</v>
      </c>
      <c r="C16" s="72">
        <f t="shared" si="0"/>
        <v>514.404</v>
      </c>
      <c r="D16" s="81">
        <f>ι_Μοντέλο_Ελέγχου_α!$C$30</f>
        <v>400</v>
      </c>
      <c r="E16" s="82">
        <f>'Απόδοση Εγκατάστασης'!$E$16</f>
        <v>0.6</v>
      </c>
      <c r="F16" s="83">
        <f t="shared" si="1"/>
        <v>240</v>
      </c>
      <c r="G16" s="83">
        <f t="shared" si="2"/>
        <v>160</v>
      </c>
      <c r="H16" s="83">
        <f t="shared" si="3"/>
        <v>274.404</v>
      </c>
      <c r="I16" s="83">
        <f t="shared" si="4"/>
        <v>75</v>
      </c>
      <c r="J16" s="83">
        <f t="shared" si="5"/>
        <v>75</v>
      </c>
      <c r="K16" s="83">
        <f t="shared" si="6"/>
        <v>315</v>
      </c>
      <c r="L16" s="83">
        <f t="shared" si="7"/>
        <v>85</v>
      </c>
      <c r="M16" s="83">
        <f t="shared" si="8"/>
        <v>199.404</v>
      </c>
      <c r="N16" s="83">
        <f t="shared" si="9"/>
        <v>11.96424</v>
      </c>
      <c r="O16" s="83">
        <f t="shared" si="10"/>
        <v>74.964240000000004</v>
      </c>
    </row>
    <row r="17" spans="1:15" x14ac:dyDescent="0.25">
      <c r="A17" s="71" t="str">
        <f>'Απόδοση Εγκατάστασης'!$A$17</f>
        <v>October</v>
      </c>
      <c r="B17" s="72">
        <f>'Απόδοση Εγκατάστασης'!$B$17</f>
        <v>104</v>
      </c>
      <c r="C17" s="72">
        <f t="shared" si="0"/>
        <v>411.84</v>
      </c>
      <c r="D17" s="81">
        <f>ι_Μοντέλο_Ελέγχου_α!$C$31</f>
        <v>600</v>
      </c>
      <c r="E17" s="82">
        <f>'Απόδοση Εγκατάστασης'!$E$17</f>
        <v>0.55000000000000004</v>
      </c>
      <c r="F17" s="83">
        <f t="shared" si="1"/>
        <v>330</v>
      </c>
      <c r="G17" s="83">
        <f t="shared" si="2"/>
        <v>270</v>
      </c>
      <c r="H17" s="83">
        <f t="shared" si="3"/>
        <v>81.839999999999975</v>
      </c>
      <c r="I17" s="83">
        <f t="shared" si="4"/>
        <v>75</v>
      </c>
      <c r="J17" s="83">
        <f t="shared" si="5"/>
        <v>75</v>
      </c>
      <c r="K17" s="83">
        <f t="shared" si="6"/>
        <v>405</v>
      </c>
      <c r="L17" s="83">
        <f t="shared" si="7"/>
        <v>195</v>
      </c>
      <c r="M17" s="83">
        <f t="shared" si="8"/>
        <v>6.839999999999975</v>
      </c>
      <c r="N17" s="83">
        <f t="shared" si="9"/>
        <v>0.41039999999999849</v>
      </c>
      <c r="O17" s="83">
        <f t="shared" si="10"/>
        <v>81.410399999999996</v>
      </c>
    </row>
    <row r="18" spans="1:15" x14ac:dyDescent="0.25">
      <c r="A18" s="71" t="str">
        <f>'Απόδοση Εγκατάστασης'!$A$18</f>
        <v>November</v>
      </c>
      <c r="B18" s="72">
        <f>'Απόδοση Εγκατάστασης'!$B$18</f>
        <v>77.400000000000006</v>
      </c>
      <c r="C18" s="72">
        <f t="shared" si="0"/>
        <v>306.50400000000002</v>
      </c>
      <c r="D18" s="81">
        <f>ι_Μοντέλο_Ελέγχου_α!$C$32</f>
        <v>800</v>
      </c>
      <c r="E18" s="82">
        <f>'Απόδοση Εγκατάστασης'!$E$18</f>
        <v>0.5</v>
      </c>
      <c r="F18" s="83">
        <f t="shared" si="1"/>
        <v>306.50400000000002</v>
      </c>
      <c r="G18" s="83">
        <f t="shared" si="2"/>
        <v>493.49599999999998</v>
      </c>
      <c r="H18" s="83">
        <f t="shared" si="3"/>
        <v>0</v>
      </c>
      <c r="I18" s="83">
        <f t="shared" si="4"/>
        <v>75</v>
      </c>
      <c r="J18" s="83">
        <f t="shared" si="5"/>
        <v>0</v>
      </c>
      <c r="K18" s="83">
        <f t="shared" si="6"/>
        <v>306.50400000000002</v>
      </c>
      <c r="L18" s="83">
        <f t="shared" si="7"/>
        <v>493.49599999999998</v>
      </c>
      <c r="M18" s="83">
        <f t="shared" si="8"/>
        <v>0</v>
      </c>
      <c r="N18" s="83">
        <f t="shared" si="9"/>
        <v>0</v>
      </c>
      <c r="O18" s="83">
        <f t="shared" si="10"/>
        <v>61.30080000000001</v>
      </c>
    </row>
    <row r="19" spans="1:15" x14ac:dyDescent="0.25">
      <c r="A19" s="71" t="str">
        <f>'Απόδοση Εγκατάστασης'!$A$19</f>
        <v>December</v>
      </c>
      <c r="B19" s="72">
        <f>'Απόδοση Εγκατάστασης'!$B$19</f>
        <v>73.3</v>
      </c>
      <c r="C19" s="72">
        <f t="shared" si="0"/>
        <v>290.26799999999997</v>
      </c>
      <c r="D19" s="81">
        <f>ι_Μοντέλο_Ελέγχου_α!$C$33</f>
        <v>800</v>
      </c>
      <c r="E19" s="82">
        <f>'Απόδοση Εγκατάστασης'!$E$19</f>
        <v>0.4</v>
      </c>
      <c r="F19" s="83">
        <f t="shared" si="1"/>
        <v>290.26799999999997</v>
      </c>
      <c r="G19" s="83">
        <f t="shared" si="2"/>
        <v>509.73200000000003</v>
      </c>
      <c r="H19" s="83">
        <f t="shared" si="3"/>
        <v>0</v>
      </c>
      <c r="I19" s="83">
        <f t="shared" si="4"/>
        <v>75</v>
      </c>
      <c r="J19" s="83">
        <f t="shared" si="5"/>
        <v>0</v>
      </c>
      <c r="K19" s="83">
        <f t="shared" si="6"/>
        <v>290.26799999999997</v>
      </c>
      <c r="L19" s="83">
        <f t="shared" si="7"/>
        <v>509.73200000000003</v>
      </c>
      <c r="M19" s="83">
        <f t="shared" si="8"/>
        <v>0</v>
      </c>
      <c r="N19" s="83">
        <f t="shared" si="9"/>
        <v>0</v>
      </c>
      <c r="O19" s="83">
        <f t="shared" si="10"/>
        <v>58.053599999999996</v>
      </c>
    </row>
    <row r="20" spans="1:15" x14ac:dyDescent="0.25">
      <c r="A20" s="9"/>
      <c r="B20" s="58"/>
      <c r="C20" s="58"/>
      <c r="D20" s="58"/>
      <c r="E20" s="63"/>
      <c r="F20" s="58"/>
      <c r="G20" s="58"/>
      <c r="H20" s="58"/>
      <c r="I20" s="58"/>
      <c r="J20" s="58"/>
      <c r="K20" s="58"/>
      <c r="L20" s="58"/>
      <c r="M20" s="58"/>
      <c r="N20" s="58"/>
      <c r="O20" s="58"/>
    </row>
    <row r="21" spans="1:15" ht="31.5" customHeight="1" x14ac:dyDescent="0.25">
      <c r="A21" s="84" t="s">
        <v>235</v>
      </c>
      <c r="B21" s="85">
        <f>SUM(B8:B19)</f>
        <v>1445.1000000000001</v>
      </c>
      <c r="C21" s="86">
        <f>SUM(C8:C19)</f>
        <v>5722.5960000000005</v>
      </c>
      <c r="D21" s="87">
        <f>SUM(D8:D19)</f>
        <v>7500</v>
      </c>
      <c r="E21" s="88">
        <f>AVERAGE(E8:E19)</f>
        <v>0.58750000000000002</v>
      </c>
      <c r="F21" s="87">
        <f>SUM(F8:F19)</f>
        <v>4046.5919999999996</v>
      </c>
      <c r="G21" s="87">
        <f>SUM(G8:G19)</f>
        <v>3453.4080000000004</v>
      </c>
      <c r="H21" s="87">
        <f>SUM(H8:H19)</f>
        <v>1676.0039999999997</v>
      </c>
      <c r="I21" s="87">
        <f>$O$3</f>
        <v>75</v>
      </c>
      <c r="J21" s="87">
        <f t="shared" ref="J21:O21" si="11">SUM(J8:J19)</f>
        <v>533.68000000000006</v>
      </c>
      <c r="K21" s="87">
        <f t="shared" si="11"/>
        <v>4580.2719999999999</v>
      </c>
      <c r="L21" s="87">
        <f t="shared" si="11"/>
        <v>2919.7280000000001</v>
      </c>
      <c r="M21" s="87">
        <f t="shared" si="11"/>
        <v>1142.3239999999998</v>
      </c>
      <c r="N21" s="87">
        <f t="shared" si="11"/>
        <v>68.539439999999985</v>
      </c>
      <c r="O21" s="87">
        <f t="shared" si="11"/>
        <v>984.59384</v>
      </c>
    </row>
    <row r="22" spans="1:1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31.5" customHeight="1" x14ac:dyDescent="0.25">
      <c r="A23" s="84" t="s">
        <v>236</v>
      </c>
      <c r="B23" s="89">
        <f>ιγ_Αποτελέσματα_Σεναρίων!$D$4</f>
        <v>1200</v>
      </c>
      <c r="C23" s="86" t="s">
        <v>237</v>
      </c>
      <c r="D23" s="90">
        <f>ιγ_Αποτελέσματα_Σεναρίων!$G$4</f>
        <v>5476.8</v>
      </c>
      <c r="E23" s="87" t="s">
        <v>238</v>
      </c>
      <c r="F23" s="90">
        <f>ιγ_Αποτελέσματα_Σεναρίων!$I$4</f>
        <v>4276.8</v>
      </c>
      <c r="G23" s="87" t="s">
        <v>48</v>
      </c>
      <c r="H23" s="90">
        <f>ιγ_Αποτελέσματα_Σεναρίων!$S$4</f>
        <v>-535.44996000000003</v>
      </c>
      <c r="I23" s="87" t="s">
        <v>51</v>
      </c>
      <c r="J23" s="90">
        <f>ιγ_Αποτελέσματα_Σεναρίων!$U$4</f>
        <v>14371.474979400929</v>
      </c>
      <c r="K23" s="87" t="s">
        <v>21</v>
      </c>
      <c r="L23" s="91">
        <f>ιγ_Αποτελέσματα_Σεναρίων!$V$4</f>
        <v>0.20086946441432948</v>
      </c>
      <c r="M23" s="87" t="s">
        <v>23</v>
      </c>
      <c r="N23" s="92">
        <f>ιγ_Αποτελέσματα_Σεναρίων!$X$4</f>
        <v>5.2406026895231541</v>
      </c>
      <c r="O23" s="87"/>
    </row>
  </sheetData>
  <sheetProtection sheet="1" objects="1" scenarios="1"/>
  <mergeCells count="10">
    <mergeCell ref="K4:N4"/>
    <mergeCell ref="A2:I2"/>
    <mergeCell ref="K3:N3"/>
    <mergeCell ref="B5:C5"/>
    <mergeCell ref="A1:O1"/>
    <mergeCell ref="A3:I3"/>
    <mergeCell ref="K2:N2"/>
    <mergeCell ref="K5:O5"/>
    <mergeCell ref="A4:I4"/>
    <mergeCell ref="D5:J5"/>
  </mergeCells>
  <pageMargins left="0.75" right="0.75" top="1" bottom="1" header="0.5" footer="0.5"/>
  <pageSetup paperSize="9" fitToHeight="0" orientation="landscape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64F54-2A39-44E2-85A1-D5A4234817D4}">
  <sheetPr codeName="Sheet29">
    <pageSetUpPr fitToPage="1"/>
  </sheetPr>
  <dimension ref="A1:J17"/>
  <sheetViews>
    <sheetView workbookViewId="0">
      <selection activeCell="M20" sqref="M20"/>
    </sheetView>
  </sheetViews>
  <sheetFormatPr defaultRowHeight="15" x14ac:dyDescent="0.25"/>
  <cols>
    <col min="1" max="1" width="12.7109375" customWidth="1"/>
    <col min="2" max="3" width="14.7109375" customWidth="1"/>
    <col min="4" max="4" width="19.7109375" customWidth="1"/>
    <col min="5" max="6" width="18.7109375" customWidth="1"/>
    <col min="7" max="7" width="14.7109375" customWidth="1"/>
    <col min="9" max="9" width="26.7109375" customWidth="1"/>
    <col min="10" max="10" width="17.7109375" customWidth="1"/>
  </cols>
  <sheetData>
    <row r="1" spans="1:10" x14ac:dyDescent="0.25">
      <c r="A1" s="287" t="s">
        <v>472</v>
      </c>
      <c r="B1" s="276"/>
      <c r="C1" s="276"/>
      <c r="D1" s="276"/>
      <c r="E1" s="276"/>
      <c r="F1" s="276"/>
      <c r="G1" s="276"/>
      <c r="H1" s="9"/>
      <c r="I1" s="9"/>
      <c r="J1" s="9"/>
    </row>
    <row r="2" spans="1:10" ht="31.5" customHeight="1" x14ac:dyDescent="0.25">
      <c r="A2" s="288" t="s">
        <v>473</v>
      </c>
      <c r="B2" s="276"/>
      <c r="C2" s="276"/>
      <c r="D2" s="276"/>
      <c r="E2" s="276"/>
      <c r="F2" s="276"/>
      <c r="G2" s="276"/>
      <c r="H2" s="9"/>
      <c r="I2" s="9"/>
      <c r="J2" s="9"/>
    </row>
    <row r="3" spans="1:10" x14ac:dyDescent="0.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10" ht="38.25" x14ac:dyDescent="0.25">
      <c r="A4" s="44" t="s">
        <v>45</v>
      </c>
      <c r="B4" s="44" t="s">
        <v>474</v>
      </c>
      <c r="C4" s="44" t="s">
        <v>182</v>
      </c>
      <c r="D4" s="44" t="s">
        <v>11</v>
      </c>
      <c r="E4" s="44" t="s">
        <v>12</v>
      </c>
      <c r="F4" s="44" t="str">
        <f>κ_Μηδενικό_Σενάριο!M7</f>
        <v>Περίσσεια ΦΒ (kWh)</v>
      </c>
      <c r="G4" s="44" t="s">
        <v>475</v>
      </c>
      <c r="H4" s="9"/>
      <c r="I4" s="289" t="s">
        <v>88</v>
      </c>
      <c r="J4" s="276"/>
    </row>
    <row r="5" spans="1:10" x14ac:dyDescent="0.25">
      <c r="A5" s="45" t="str">
        <f>κ_Μηδενικό_Σενάριο!A8</f>
        <v>January</v>
      </c>
      <c r="B5" s="46">
        <f>κ_Μηδενικό_Σενάριο!C8</f>
        <v>493.02</v>
      </c>
      <c r="C5" s="46">
        <f>κ_Μηδενικό_Σενάριο!D8</f>
        <v>800</v>
      </c>
      <c r="D5" s="46">
        <f>κ_Μηδενικό_Σενάριο!J8</f>
        <v>0</v>
      </c>
      <c r="E5" s="46">
        <f>κ_Μηδενικό_Σενάριο!K8</f>
        <v>320</v>
      </c>
      <c r="F5" s="46">
        <f>κ_Μηδενικό_Σενάριο!M8</f>
        <v>173.01999999999998</v>
      </c>
      <c r="G5" s="47">
        <f>κ_Μηδενικό_Σενάριο!O8</f>
        <v>74.381199999999993</v>
      </c>
      <c r="H5" s="9"/>
      <c r="I5" s="45" t="s">
        <v>0</v>
      </c>
      <c r="J5" s="45" t="str">
        <f>κ_Μηδενικό_Σενάριο!O2</f>
        <v>Χωρίς μπαταρία</v>
      </c>
    </row>
    <row r="6" spans="1:10" x14ac:dyDescent="0.25">
      <c r="A6" s="45" t="str">
        <f>κ_Μηδενικό_Σενάριο!A9</f>
        <v>February</v>
      </c>
      <c r="B6" s="46">
        <f>κ_Μηδενικό_Σενάριο!C9</f>
        <v>517.37399999999991</v>
      </c>
      <c r="C6" s="46">
        <f>κ_Μηδενικό_Σενάριο!D9</f>
        <v>800</v>
      </c>
      <c r="D6" s="46">
        <f>κ_Μηδενικό_Σενάριο!J9</f>
        <v>0</v>
      </c>
      <c r="E6" s="46">
        <f>κ_Μηδενικό_Σενάριο!K9</f>
        <v>400</v>
      </c>
      <c r="F6" s="46">
        <f>κ_Μηδενικό_Σενάριο!M9</f>
        <v>117.37399999999991</v>
      </c>
      <c r="G6" s="47">
        <f>κ_Μηδενικό_Σενάριο!O9</f>
        <v>87.042439999999999</v>
      </c>
      <c r="H6" s="9"/>
      <c r="I6" s="45" t="s">
        <v>477</v>
      </c>
      <c r="J6" s="46">
        <f>κ_Μηδενικό_Σενάριο!O3</f>
        <v>0</v>
      </c>
    </row>
    <row r="7" spans="1:10" x14ac:dyDescent="0.25">
      <c r="A7" s="45" t="str">
        <f>κ_Μηδενικό_Σενάριο!A10</f>
        <v>March</v>
      </c>
      <c r="B7" s="46">
        <f>κ_Μηδενικό_Σενάριο!C10</f>
        <v>697.35599999999999</v>
      </c>
      <c r="C7" s="46">
        <f>κ_Μηδενικό_Σενάριο!D10</f>
        <v>800</v>
      </c>
      <c r="D7" s="46">
        <f>κ_Μηδενικό_Σενάριο!J10</f>
        <v>0</v>
      </c>
      <c r="E7" s="46">
        <f>κ_Μηδενικό_Σενάριο!K10</f>
        <v>480</v>
      </c>
      <c r="F7" s="46">
        <f>κ_Μηδενικό_Σενάριο!M10</f>
        <v>217.35599999999999</v>
      </c>
      <c r="G7" s="47">
        <f>κ_Μηδενικό_Σενάριο!O10</f>
        <v>109.04136</v>
      </c>
      <c r="H7" s="9"/>
      <c r="I7" s="45" t="s">
        <v>4</v>
      </c>
      <c r="J7" s="46">
        <f>κ_Μηδενικό_Σενάριο!J4/1000</f>
        <v>5.94</v>
      </c>
    </row>
    <row r="8" spans="1:10" x14ac:dyDescent="0.25">
      <c r="A8" s="45" t="str">
        <f>κ_Μηδενικό_Σενάριο!A11</f>
        <v>April</v>
      </c>
      <c r="B8" s="46">
        <f>κ_Μηδενικό_Σενάριο!C11</f>
        <v>798.93</v>
      </c>
      <c r="C8" s="46">
        <f>κ_Μηδενικό_Σενάριο!D11</f>
        <v>450</v>
      </c>
      <c r="D8" s="46">
        <f>κ_Μηδενικό_Σενάριο!J11</f>
        <v>0</v>
      </c>
      <c r="E8" s="46">
        <f>κ_Μηδενικό_Σενάριο!K11</f>
        <v>315</v>
      </c>
      <c r="F8" s="46">
        <f>κ_Μηδενικό_Σενάριο!M11</f>
        <v>483.92999999999995</v>
      </c>
      <c r="G8" s="47">
        <f>κ_Μηδενικό_Σενάριο!O11</f>
        <v>92.035799999999995</v>
      </c>
      <c r="H8" s="9"/>
      <c r="I8" s="45" t="s">
        <v>7</v>
      </c>
      <c r="J8" s="47">
        <f>κ_Μηδενικό_Σενάριο!O4</f>
        <v>5476.8</v>
      </c>
    </row>
    <row r="9" spans="1:10" x14ac:dyDescent="0.25">
      <c r="A9" s="45" t="str">
        <f>κ_Μηδενικό_Σενάριο!A12</f>
        <v>May</v>
      </c>
      <c r="B9" s="46">
        <f>κ_Μηδενικό_Σενάριο!C12</f>
        <v>891.59400000000005</v>
      </c>
      <c r="C9" s="46">
        <f>κ_Μηδενικό_Σενάριο!D12</f>
        <v>400</v>
      </c>
      <c r="D9" s="46">
        <f>κ_Μηδενικό_Σενάριο!J12</f>
        <v>0</v>
      </c>
      <c r="E9" s="46">
        <f>κ_Μηδενικό_Σενάριο!K12</f>
        <v>280</v>
      </c>
      <c r="F9" s="46">
        <f>κ_Μηδενικό_Σενάριο!M12</f>
        <v>611.59400000000005</v>
      </c>
      <c r="G9" s="47">
        <f>κ_Μηδενικό_Σενάριο!O12</f>
        <v>92.695639999999997</v>
      </c>
      <c r="H9" s="9"/>
      <c r="I9" s="45" t="s">
        <v>3</v>
      </c>
      <c r="J9" s="47">
        <f>κ_Μηδενικό_Σενάριο!B23</f>
        <v>0</v>
      </c>
    </row>
    <row r="10" spans="1:10" x14ac:dyDescent="0.25">
      <c r="A10" s="45" t="str">
        <f>κ_Μηδενικό_Σενάριο!A13</f>
        <v>June</v>
      </c>
      <c r="B10" s="46">
        <f>κ_Μηδενικό_Σενάριο!C13</f>
        <v>927.23400000000004</v>
      </c>
      <c r="C10" s="46">
        <f>κ_Μηδενικό_Σενάριο!D13</f>
        <v>450</v>
      </c>
      <c r="D10" s="46">
        <f>κ_Μηδενικό_Σενάριο!J13</f>
        <v>0</v>
      </c>
      <c r="E10" s="46">
        <f>κ_Μηδενικό_Σενάριο!K13</f>
        <v>315</v>
      </c>
      <c r="F10" s="46">
        <f>κ_Μηδενικό_Σενάριο!M13</f>
        <v>612.23400000000004</v>
      </c>
      <c r="G10" s="47">
        <f>κ_Μηδενικό_Σενάριο!O13</f>
        <v>99.734039999999993</v>
      </c>
      <c r="H10" s="9"/>
      <c r="I10" s="45" t="s">
        <v>20</v>
      </c>
      <c r="J10" s="47">
        <f>κ_Μηδενικό_Σενάριο!J23</f>
        <v>16167.560615693248</v>
      </c>
    </row>
    <row r="11" spans="1:10" x14ac:dyDescent="0.25">
      <c r="A11" s="45" t="str">
        <f>κ_Μηδενικό_Σενάριο!A14</f>
        <v>July</v>
      </c>
      <c r="B11" s="46">
        <f>κ_Μηδενικό_Σενάριο!C14</f>
        <v>1011.5820000000001</v>
      </c>
      <c r="C11" s="46">
        <f>κ_Μηδενικό_Σενάριο!D14</f>
        <v>600</v>
      </c>
      <c r="D11" s="46">
        <f>κ_Μηδενικό_Σενάριο!J14</f>
        <v>0</v>
      </c>
      <c r="E11" s="46">
        <f>κ_Μηδενικό_Σενάριο!K14</f>
        <v>420</v>
      </c>
      <c r="F11" s="46">
        <f>κ_Μηδενικό_Σενάριο!M14</f>
        <v>591.58200000000011</v>
      </c>
      <c r="G11" s="47">
        <f>κ_Μηδενικό_Σενάριο!O14</f>
        <v>119.49492000000001</v>
      </c>
      <c r="H11" s="9"/>
      <c r="I11" s="45" t="s">
        <v>21</v>
      </c>
      <c r="J11" s="48">
        <f>κ_Μηδενικό_Σενάριο!L23</f>
        <v>0.20031559105308341</v>
      </c>
    </row>
    <row r="12" spans="1:10" x14ac:dyDescent="0.25">
      <c r="A12" s="45" t="str">
        <f>κ_Μηδενικό_Σενάριο!A15</f>
        <v>August</v>
      </c>
      <c r="B12" s="46">
        <f>κ_Μηδενικό_Σενάριο!C15</f>
        <v>962.28</v>
      </c>
      <c r="C12" s="46">
        <f>κ_Μηδενικό_Σενάριο!D15</f>
        <v>600</v>
      </c>
      <c r="D12" s="46">
        <f>κ_Μηδενικό_Σενάριο!J15</f>
        <v>0</v>
      </c>
      <c r="E12" s="46">
        <f>κ_Μηδενικό_Σενάριο!K15</f>
        <v>420</v>
      </c>
      <c r="F12" s="46">
        <f>κ_Μηδενικό_Σενάριο!M15</f>
        <v>542.28</v>
      </c>
      <c r="G12" s="47">
        <f>κ_Μηδενικό_Σενάριο!O15</f>
        <v>116.5368</v>
      </c>
      <c r="H12" s="9"/>
      <c r="I12" s="45" t="s">
        <v>23</v>
      </c>
      <c r="J12" s="49">
        <f>κ_Μηδενικό_Σενάριο!N23</f>
        <v>5.2552735751662327</v>
      </c>
    </row>
    <row r="13" spans="1:10" x14ac:dyDescent="0.25">
      <c r="A13" s="45" t="str">
        <f>κ_Μηδενικό_Σενάριο!A16</f>
        <v>September</v>
      </c>
      <c r="B13" s="46">
        <f>κ_Μηδενικό_Σενάριο!C16</f>
        <v>771.60599999999999</v>
      </c>
      <c r="C13" s="46">
        <f>κ_Μηδενικό_Σενάριο!D16</f>
        <v>400</v>
      </c>
      <c r="D13" s="46">
        <f>κ_Μηδενικό_Σενάριο!J16</f>
        <v>0</v>
      </c>
      <c r="E13" s="46">
        <f>κ_Μηδενικό_Σενάριο!K16</f>
        <v>240</v>
      </c>
      <c r="F13" s="46">
        <f>κ_Μηδενικό_Σενάριο!M16</f>
        <v>531.60599999999999</v>
      </c>
      <c r="G13" s="47">
        <f>κ_Μηδενικό_Σενάριο!O16</f>
        <v>79.896360000000001</v>
      </c>
      <c r="H13" s="9"/>
      <c r="I13" s="45" t="s">
        <v>19</v>
      </c>
      <c r="J13" s="47">
        <f>κ_Μηδενικό_Σενάριο!O21</f>
        <v>1108.6336399999998</v>
      </c>
    </row>
    <row r="14" spans="1:10" x14ac:dyDescent="0.25">
      <c r="A14" s="45" t="str">
        <f>κ_Μηδενικό_Σενάριο!A17</f>
        <v>October</v>
      </c>
      <c r="B14" s="46">
        <f>κ_Μηδενικό_Σενάριο!C17</f>
        <v>617.76</v>
      </c>
      <c r="C14" s="46">
        <f>κ_Μηδενικό_Σενάριο!D17</f>
        <v>600</v>
      </c>
      <c r="D14" s="46">
        <f>κ_Μηδενικό_Σενάριο!J17</f>
        <v>0</v>
      </c>
      <c r="E14" s="46">
        <f>κ_Μηδενικό_Σενάριο!K17</f>
        <v>330</v>
      </c>
      <c r="F14" s="46">
        <f>κ_Μηδενικό_Σενάριο!M17</f>
        <v>287.76</v>
      </c>
      <c r="G14" s="47">
        <f>κ_Μηδενικό_Σενάριο!O17</f>
        <v>83.265600000000006</v>
      </c>
      <c r="H14" s="9"/>
      <c r="I14" s="9"/>
      <c r="J14" s="9"/>
    </row>
    <row r="15" spans="1:10" x14ac:dyDescent="0.25">
      <c r="A15" s="45" t="str">
        <f>κ_Μηδενικό_Σενάριο!A18</f>
        <v>November</v>
      </c>
      <c r="B15" s="46">
        <f>κ_Μηδενικό_Σενάριο!C18</f>
        <v>459.75600000000009</v>
      </c>
      <c r="C15" s="46">
        <f>κ_Μηδενικό_Σενάριο!D18</f>
        <v>800</v>
      </c>
      <c r="D15" s="46">
        <f>κ_Μηδενικό_Σενάριο!J18</f>
        <v>0</v>
      </c>
      <c r="E15" s="46">
        <f>κ_Μηδενικό_Σενάριο!K18</f>
        <v>400</v>
      </c>
      <c r="F15" s="46">
        <f>κ_Μηδενικό_Σενάριο!M18</f>
        <v>59.756000000000085</v>
      </c>
      <c r="G15" s="47">
        <f>κ_Μηδενικό_Σενάριο!O18</f>
        <v>83.585360000000009</v>
      </c>
      <c r="H15" s="9"/>
      <c r="I15" s="9"/>
      <c r="J15" s="9"/>
    </row>
    <row r="16" spans="1:10" x14ac:dyDescent="0.25">
      <c r="A16" s="45" t="str">
        <f>κ_Μηδενικό_Σενάριο!A19</f>
        <v>December</v>
      </c>
      <c r="B16" s="46">
        <f>κ_Μηδενικό_Σενάριο!C19</f>
        <v>435.40199999999999</v>
      </c>
      <c r="C16" s="46">
        <f>κ_Μηδενικό_Σενάριο!D19</f>
        <v>800</v>
      </c>
      <c r="D16" s="46">
        <f>κ_Μηδενικό_Σενάριο!J19</f>
        <v>0</v>
      </c>
      <c r="E16" s="46">
        <f>κ_Μηδενικό_Σενάριο!K19</f>
        <v>320</v>
      </c>
      <c r="F16" s="46">
        <f>κ_Μηδενικό_Σενάριο!M19</f>
        <v>115.40199999999999</v>
      </c>
      <c r="G16" s="47">
        <f>κ_Μηδενικό_Σενάριο!O19</f>
        <v>70.924120000000002</v>
      </c>
      <c r="H16" s="9"/>
      <c r="I16" s="9"/>
      <c r="J16" s="9"/>
    </row>
    <row r="17" spans="1:10" ht="25.5" x14ac:dyDescent="0.25">
      <c r="A17" s="50" t="s">
        <v>476</v>
      </c>
      <c r="B17" s="51">
        <f>κ_Μηδενικό_Σενάριο!C21</f>
        <v>8583.8940000000002</v>
      </c>
      <c r="C17" s="51">
        <f>κ_Μηδενικό_Σενάριο!D21</f>
        <v>7500</v>
      </c>
      <c r="D17" s="51">
        <f>κ_Μηδενικό_Σενάριο!J21</f>
        <v>0</v>
      </c>
      <c r="E17" s="51">
        <f>κ_Μηδενικό_Σενάριο!K21</f>
        <v>4240</v>
      </c>
      <c r="F17" s="51">
        <f>κ_Μηδενικό_Σενάριο!M21</f>
        <v>4343.8940000000002</v>
      </c>
      <c r="G17" s="52">
        <f>κ_Μηδενικό_Σενάριο!O21</f>
        <v>1108.6336399999998</v>
      </c>
      <c r="H17" s="9"/>
      <c r="I17" s="9"/>
      <c r="J17" s="9"/>
    </row>
  </sheetData>
  <sheetProtection sheet="1" objects="1" scenarios="1"/>
  <mergeCells count="3">
    <mergeCell ref="A1:G1"/>
    <mergeCell ref="A2:G2"/>
    <mergeCell ref="I4:J4"/>
  </mergeCells>
  <pageMargins left="0.7" right="0.7" top="0.75" bottom="0.75" header="0.3" footer="0.3"/>
  <pageSetup paperSize="9" fitToHeight="0" orientation="landscape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9">
    <pageSetUpPr fitToPage="1"/>
  </sheetPr>
  <dimension ref="A1:O23"/>
  <sheetViews>
    <sheetView showGridLines="0" zoomScale="70" zoomScaleNormal="70" workbookViewId="0">
      <selection activeCell="W16" sqref="W16"/>
    </sheetView>
  </sheetViews>
  <sheetFormatPr defaultRowHeight="15" x14ac:dyDescent="0.25"/>
  <cols>
    <col min="1" max="1" width="14.85546875" bestFit="1" customWidth="1"/>
    <col min="2" max="2" width="16.7109375" bestFit="1" customWidth="1"/>
    <col min="3" max="3" width="16.28515625" bestFit="1" customWidth="1"/>
    <col min="4" max="4" width="11.5703125" bestFit="1" customWidth="1"/>
    <col min="5" max="5" width="19.85546875" bestFit="1" customWidth="1"/>
    <col min="6" max="6" width="14.42578125" bestFit="1" customWidth="1"/>
    <col min="7" max="7" width="23.5703125" bestFit="1" customWidth="1"/>
    <col min="8" max="8" width="14.7109375" customWidth="1"/>
    <col min="9" max="9" width="13.28515625" customWidth="1"/>
    <col min="10" max="10" width="13.42578125" bestFit="1" customWidth="1"/>
    <col min="11" max="12" width="14" customWidth="1"/>
    <col min="13" max="13" width="14.42578125" customWidth="1"/>
    <col min="14" max="14" width="15" customWidth="1"/>
    <col min="15" max="15" width="17.140625" bestFit="1" customWidth="1"/>
  </cols>
  <sheetData>
    <row r="1" spans="1:15" ht="26.25" customHeight="1" x14ac:dyDescent="0.25">
      <c r="A1" s="294" t="s">
        <v>213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2"/>
    </row>
    <row r="2" spans="1:15" ht="18.75" customHeight="1" x14ac:dyDescent="0.25">
      <c r="A2" s="290" t="s">
        <v>214</v>
      </c>
      <c r="B2" s="291"/>
      <c r="C2" s="291"/>
      <c r="D2" s="291"/>
      <c r="E2" s="291"/>
      <c r="F2" s="291"/>
      <c r="G2" s="291"/>
      <c r="H2" s="291"/>
      <c r="I2" s="292"/>
      <c r="J2" s="74">
        <f>ι_Μοντέλο_Ελέγχου_α!$B$8</f>
        <v>0.2</v>
      </c>
      <c r="K2" s="290" t="s">
        <v>0</v>
      </c>
      <c r="L2" s="291"/>
      <c r="M2" s="291"/>
      <c r="N2" s="292"/>
      <c r="O2" s="75" t="str">
        <f>ιγ_Αποτελέσματα_Σεναρίων!$A$8</f>
        <v>Χωρίς μπαταρία</v>
      </c>
    </row>
    <row r="3" spans="1:15" ht="18.75" customHeight="1" x14ac:dyDescent="0.25">
      <c r="A3" s="290" t="s">
        <v>215</v>
      </c>
      <c r="B3" s="291"/>
      <c r="C3" s="291"/>
      <c r="D3" s="291"/>
      <c r="E3" s="291"/>
      <c r="F3" s="291"/>
      <c r="G3" s="291"/>
      <c r="H3" s="291"/>
      <c r="I3" s="292"/>
      <c r="J3" s="74">
        <f>ι_Μοντέλο_Ελέγχου_α!$B$9</f>
        <v>0.06</v>
      </c>
      <c r="K3" s="290" t="s">
        <v>216</v>
      </c>
      <c r="L3" s="291"/>
      <c r="M3" s="291"/>
      <c r="N3" s="292"/>
      <c r="O3" s="76">
        <f>ιγ_Αποτελέσματα_Σεναρίων!$C$8</f>
        <v>0</v>
      </c>
    </row>
    <row r="4" spans="1:15" ht="18.75" customHeight="1" x14ac:dyDescent="0.25">
      <c r="A4" s="290" t="s">
        <v>217</v>
      </c>
      <c r="B4" s="291"/>
      <c r="C4" s="291"/>
      <c r="D4" s="291"/>
      <c r="E4" s="291"/>
      <c r="F4" s="291"/>
      <c r="G4" s="291"/>
      <c r="H4" s="291"/>
      <c r="I4" s="292"/>
      <c r="J4" s="77">
        <f>ιγ_Αποτελέσματα_Σεναρίων!$E$8*1000</f>
        <v>5940</v>
      </c>
      <c r="K4" s="290" t="s">
        <v>218</v>
      </c>
      <c r="L4" s="291"/>
      <c r="M4" s="291"/>
      <c r="N4" s="292"/>
      <c r="O4" s="78">
        <f>ιγ_Αποτελέσματα_Σεναρίων!$H$8</f>
        <v>5476.8</v>
      </c>
    </row>
    <row r="5" spans="1:15" ht="31.5" customHeight="1" x14ac:dyDescent="0.25">
      <c r="A5" s="73"/>
      <c r="B5" s="293" t="s">
        <v>219</v>
      </c>
      <c r="C5" s="292"/>
      <c r="D5" s="295" t="s">
        <v>220</v>
      </c>
      <c r="E5" s="291"/>
      <c r="F5" s="291"/>
      <c r="G5" s="291"/>
      <c r="H5" s="291"/>
      <c r="I5" s="291"/>
      <c r="J5" s="292"/>
      <c r="K5" s="295" t="s">
        <v>221</v>
      </c>
      <c r="L5" s="291"/>
      <c r="M5" s="291"/>
      <c r="N5" s="291"/>
      <c r="O5" s="292"/>
    </row>
    <row r="6" spans="1:15" ht="30" customHeight="1" x14ac:dyDescent="0.25">
      <c r="A6" s="79">
        <v>1</v>
      </c>
      <c r="B6" s="67">
        <v>2</v>
      </c>
      <c r="C6" s="67">
        <v>3</v>
      </c>
      <c r="D6" s="80">
        <v>4</v>
      </c>
      <c r="E6" s="80">
        <v>5</v>
      </c>
      <c r="F6" s="80">
        <v>6</v>
      </c>
      <c r="G6" s="80">
        <v>7</v>
      </c>
      <c r="H6" s="80">
        <v>8</v>
      </c>
      <c r="I6" s="80">
        <v>9</v>
      </c>
      <c r="J6" s="80">
        <v>10</v>
      </c>
      <c r="K6" s="80">
        <v>11</v>
      </c>
      <c r="L6" s="80">
        <v>12</v>
      </c>
      <c r="M6" s="80">
        <v>13</v>
      </c>
      <c r="N6" s="80">
        <v>14</v>
      </c>
      <c r="O6" s="80">
        <v>15</v>
      </c>
    </row>
    <row r="7" spans="1:15" ht="60" customHeight="1" x14ac:dyDescent="0.25">
      <c r="A7" s="68" t="s">
        <v>222</v>
      </c>
      <c r="B7" s="66" t="s">
        <v>223</v>
      </c>
      <c r="C7" s="66" t="s">
        <v>224</v>
      </c>
      <c r="D7" s="69" t="s">
        <v>225</v>
      </c>
      <c r="E7" s="69" t="s">
        <v>226</v>
      </c>
      <c r="F7" s="69" t="s">
        <v>227</v>
      </c>
      <c r="G7" s="69" t="s">
        <v>228</v>
      </c>
      <c r="H7" s="70" t="s">
        <v>229</v>
      </c>
      <c r="I7" s="69" t="s">
        <v>216</v>
      </c>
      <c r="J7" s="69" t="s">
        <v>230</v>
      </c>
      <c r="K7" s="69" t="s">
        <v>231</v>
      </c>
      <c r="L7" s="69" t="s">
        <v>13</v>
      </c>
      <c r="M7" s="69" t="s">
        <v>232</v>
      </c>
      <c r="N7" s="69" t="s">
        <v>233</v>
      </c>
      <c r="O7" s="69" t="s">
        <v>234</v>
      </c>
    </row>
    <row r="8" spans="1:15" x14ac:dyDescent="0.25">
      <c r="A8" s="71" t="str">
        <f>'Απόδοση Εγκατάστασης'!$A$8</f>
        <v>January</v>
      </c>
      <c r="B8" s="72">
        <f>'Απόδοση Εγκατάστασης'!$B$8</f>
        <v>83</v>
      </c>
      <c r="C8" s="72">
        <f t="shared" ref="C8:C19" si="0">B8*J$4/1000</f>
        <v>493.02</v>
      </c>
      <c r="D8" s="81">
        <f>ι_Μοντέλο_Ελέγχου_α!$C$22</f>
        <v>800</v>
      </c>
      <c r="E8" s="82">
        <f>'Απόδοση Εγκατάστασης'!$E$8</f>
        <v>0.4</v>
      </c>
      <c r="F8" s="83">
        <f t="shared" ref="F8:F19" si="1">MIN(C8,E8*D8)</f>
        <v>320</v>
      </c>
      <c r="G8" s="83">
        <f t="shared" ref="G8:G19" si="2">D8-F8</f>
        <v>480</v>
      </c>
      <c r="H8" s="83">
        <f t="shared" ref="H8:H19" si="3">MAX(C8-F8,0)</f>
        <v>173.01999999999998</v>
      </c>
      <c r="I8" s="83">
        <f t="shared" ref="I8:I19" si="4">$O$3</f>
        <v>0</v>
      </c>
      <c r="J8" s="83">
        <f>0</f>
        <v>0</v>
      </c>
      <c r="K8" s="83">
        <f t="shared" ref="K8:K19" si="5">F8+J8</f>
        <v>320</v>
      </c>
      <c r="L8" s="83">
        <f t="shared" ref="L8:L19" si="6">D8-K8</f>
        <v>480</v>
      </c>
      <c r="M8" s="83">
        <f t="shared" ref="M8:M19" si="7">MAX(C8-K8,0)</f>
        <v>173.01999999999998</v>
      </c>
      <c r="N8" s="83">
        <f t="shared" ref="N8:N19" si="8">M8*J$3</f>
        <v>10.381199999999998</v>
      </c>
      <c r="O8" s="83">
        <f t="shared" ref="O8:O19" si="9">K8*J$2+N8</f>
        <v>74.381199999999993</v>
      </c>
    </row>
    <row r="9" spans="1:15" x14ac:dyDescent="0.25">
      <c r="A9" s="71" t="str">
        <f>'Απόδοση Εγκατάστασης'!$A$9</f>
        <v>February</v>
      </c>
      <c r="B9" s="72">
        <f>'Απόδοση Εγκατάστασης'!$B$9</f>
        <v>87.1</v>
      </c>
      <c r="C9" s="72">
        <f t="shared" si="0"/>
        <v>517.37399999999991</v>
      </c>
      <c r="D9" s="81">
        <f>ι_Μοντέλο_Ελέγχου_α!$C$23</f>
        <v>800</v>
      </c>
      <c r="E9" s="82">
        <f>'Απόδοση Εγκατάστασης'!$E$9</f>
        <v>0.5</v>
      </c>
      <c r="F9" s="83">
        <f t="shared" si="1"/>
        <v>400</v>
      </c>
      <c r="G9" s="83">
        <f t="shared" si="2"/>
        <v>400</v>
      </c>
      <c r="H9" s="83">
        <f t="shared" si="3"/>
        <v>117.37399999999991</v>
      </c>
      <c r="I9" s="83">
        <f t="shared" si="4"/>
        <v>0</v>
      </c>
      <c r="J9" s="83">
        <f>0</f>
        <v>0</v>
      </c>
      <c r="K9" s="83">
        <f t="shared" si="5"/>
        <v>400</v>
      </c>
      <c r="L9" s="83">
        <f t="shared" si="6"/>
        <v>400</v>
      </c>
      <c r="M9" s="83">
        <f t="shared" si="7"/>
        <v>117.37399999999991</v>
      </c>
      <c r="N9" s="83">
        <f t="shared" si="8"/>
        <v>7.0424399999999947</v>
      </c>
      <c r="O9" s="83">
        <f t="shared" si="9"/>
        <v>87.042439999999999</v>
      </c>
    </row>
    <row r="10" spans="1:15" x14ac:dyDescent="0.25">
      <c r="A10" s="71" t="str">
        <f>'Απόδοση Εγκατάστασης'!$A$10</f>
        <v>March</v>
      </c>
      <c r="B10" s="72">
        <f>'Απόδοση Εγκατάστασης'!$B$10</f>
        <v>117.4</v>
      </c>
      <c r="C10" s="72">
        <f t="shared" si="0"/>
        <v>697.35599999999999</v>
      </c>
      <c r="D10" s="81">
        <f>ι_Μοντέλο_Ελέγχου_α!$C$24</f>
        <v>800</v>
      </c>
      <c r="E10" s="82">
        <f>'Απόδοση Εγκατάστασης'!$E$10</f>
        <v>0.6</v>
      </c>
      <c r="F10" s="83">
        <f t="shared" si="1"/>
        <v>480</v>
      </c>
      <c r="G10" s="83">
        <f t="shared" si="2"/>
        <v>320</v>
      </c>
      <c r="H10" s="83">
        <f t="shared" si="3"/>
        <v>217.35599999999999</v>
      </c>
      <c r="I10" s="83">
        <f t="shared" si="4"/>
        <v>0</v>
      </c>
      <c r="J10" s="83">
        <f>0</f>
        <v>0</v>
      </c>
      <c r="K10" s="83">
        <f t="shared" si="5"/>
        <v>480</v>
      </c>
      <c r="L10" s="83">
        <f t="shared" si="6"/>
        <v>320</v>
      </c>
      <c r="M10" s="83">
        <f t="shared" si="7"/>
        <v>217.35599999999999</v>
      </c>
      <c r="N10" s="83">
        <f t="shared" si="8"/>
        <v>13.041359999999999</v>
      </c>
      <c r="O10" s="83">
        <f t="shared" si="9"/>
        <v>109.04136</v>
      </c>
    </row>
    <row r="11" spans="1:15" x14ac:dyDescent="0.25">
      <c r="A11" s="71" t="str">
        <f>'Απόδοση Εγκατάστασης'!$A$11</f>
        <v>April</v>
      </c>
      <c r="B11" s="72">
        <f>'Απόδοση Εγκατάστασης'!$B$11</f>
        <v>134.5</v>
      </c>
      <c r="C11" s="72">
        <f t="shared" si="0"/>
        <v>798.93</v>
      </c>
      <c r="D11" s="81">
        <f>ι_Μοντέλο_Ελέγχου_α!$C$25</f>
        <v>450</v>
      </c>
      <c r="E11" s="82">
        <f>'Απόδοση Εγκατάστασης'!$E$11</f>
        <v>0.7</v>
      </c>
      <c r="F11" s="83">
        <f t="shared" si="1"/>
        <v>315</v>
      </c>
      <c r="G11" s="83">
        <f t="shared" si="2"/>
        <v>135</v>
      </c>
      <c r="H11" s="83">
        <f t="shared" si="3"/>
        <v>483.92999999999995</v>
      </c>
      <c r="I11" s="83">
        <f t="shared" si="4"/>
        <v>0</v>
      </c>
      <c r="J11" s="83">
        <f>0</f>
        <v>0</v>
      </c>
      <c r="K11" s="83">
        <f t="shared" si="5"/>
        <v>315</v>
      </c>
      <c r="L11" s="83">
        <f t="shared" si="6"/>
        <v>135</v>
      </c>
      <c r="M11" s="83">
        <f t="shared" si="7"/>
        <v>483.92999999999995</v>
      </c>
      <c r="N11" s="83">
        <f t="shared" si="8"/>
        <v>29.035799999999995</v>
      </c>
      <c r="O11" s="83">
        <f t="shared" si="9"/>
        <v>92.035799999999995</v>
      </c>
    </row>
    <row r="12" spans="1:15" x14ac:dyDescent="0.25">
      <c r="A12" s="71" t="str">
        <f>'Απόδοση Εγκατάστασης'!$A$12</f>
        <v>May</v>
      </c>
      <c r="B12" s="72">
        <f>'Απόδοση Εγκατάστασης'!$B$12</f>
        <v>150.1</v>
      </c>
      <c r="C12" s="72">
        <f t="shared" si="0"/>
        <v>891.59400000000005</v>
      </c>
      <c r="D12" s="81">
        <f>ι_Μοντέλο_Ελέγχου_α!$C$26</f>
        <v>400</v>
      </c>
      <c r="E12" s="82">
        <f>'Απόδοση Εγκατάστασης'!$E$12</f>
        <v>0.7</v>
      </c>
      <c r="F12" s="83">
        <f t="shared" si="1"/>
        <v>280</v>
      </c>
      <c r="G12" s="83">
        <f t="shared" si="2"/>
        <v>120</v>
      </c>
      <c r="H12" s="83">
        <f t="shared" si="3"/>
        <v>611.59400000000005</v>
      </c>
      <c r="I12" s="83">
        <f t="shared" si="4"/>
        <v>0</v>
      </c>
      <c r="J12" s="83">
        <f>0</f>
        <v>0</v>
      </c>
      <c r="K12" s="83">
        <f t="shared" si="5"/>
        <v>280</v>
      </c>
      <c r="L12" s="83">
        <f t="shared" si="6"/>
        <v>120</v>
      </c>
      <c r="M12" s="83">
        <f t="shared" si="7"/>
        <v>611.59400000000005</v>
      </c>
      <c r="N12" s="83">
        <f t="shared" si="8"/>
        <v>36.695640000000004</v>
      </c>
      <c r="O12" s="83">
        <f t="shared" si="9"/>
        <v>92.695639999999997</v>
      </c>
    </row>
    <row r="13" spans="1:15" x14ac:dyDescent="0.25">
      <c r="A13" s="71" t="str">
        <f>'Απόδοση Εγκατάστασης'!$A$13</f>
        <v>June</v>
      </c>
      <c r="B13" s="72">
        <f>'Απόδοση Εγκατάστασης'!$B$13</f>
        <v>156.1</v>
      </c>
      <c r="C13" s="72">
        <f t="shared" si="0"/>
        <v>927.23400000000004</v>
      </c>
      <c r="D13" s="81">
        <f>ι_Μοντέλο_Ελέγχου_α!$C$27</f>
        <v>450</v>
      </c>
      <c r="E13" s="82">
        <f>'Απόδοση Εγκατάστασης'!$E$13</f>
        <v>0.7</v>
      </c>
      <c r="F13" s="83">
        <f t="shared" si="1"/>
        <v>315</v>
      </c>
      <c r="G13" s="83">
        <f t="shared" si="2"/>
        <v>135</v>
      </c>
      <c r="H13" s="83">
        <f t="shared" si="3"/>
        <v>612.23400000000004</v>
      </c>
      <c r="I13" s="83">
        <f t="shared" si="4"/>
        <v>0</v>
      </c>
      <c r="J13" s="83">
        <f>0</f>
        <v>0</v>
      </c>
      <c r="K13" s="83">
        <f t="shared" si="5"/>
        <v>315</v>
      </c>
      <c r="L13" s="83">
        <f t="shared" si="6"/>
        <v>135</v>
      </c>
      <c r="M13" s="83">
        <f t="shared" si="7"/>
        <v>612.23400000000004</v>
      </c>
      <c r="N13" s="83">
        <f t="shared" si="8"/>
        <v>36.73404</v>
      </c>
      <c r="O13" s="83">
        <f t="shared" si="9"/>
        <v>99.734039999999993</v>
      </c>
    </row>
    <row r="14" spans="1:15" x14ac:dyDescent="0.25">
      <c r="A14" s="71" t="str">
        <f>'Απόδοση Εγκατάστασης'!$A$14</f>
        <v>July</v>
      </c>
      <c r="B14" s="72">
        <f>'Απόδοση Εγκατάστασης'!$B$14</f>
        <v>170.3</v>
      </c>
      <c r="C14" s="72">
        <f t="shared" si="0"/>
        <v>1011.5820000000001</v>
      </c>
      <c r="D14" s="81">
        <f>ι_Μοντέλο_Ελέγχου_α!$C$28</f>
        <v>600</v>
      </c>
      <c r="E14" s="82">
        <f>'Απόδοση Εγκατάστασης'!$E$14</f>
        <v>0.7</v>
      </c>
      <c r="F14" s="83">
        <f t="shared" si="1"/>
        <v>420</v>
      </c>
      <c r="G14" s="83">
        <f t="shared" si="2"/>
        <v>180</v>
      </c>
      <c r="H14" s="83">
        <f t="shared" si="3"/>
        <v>591.58200000000011</v>
      </c>
      <c r="I14" s="83">
        <f t="shared" si="4"/>
        <v>0</v>
      </c>
      <c r="J14" s="83">
        <f>0</f>
        <v>0</v>
      </c>
      <c r="K14" s="83">
        <f t="shared" si="5"/>
        <v>420</v>
      </c>
      <c r="L14" s="83">
        <f t="shared" si="6"/>
        <v>180</v>
      </c>
      <c r="M14" s="83">
        <f t="shared" si="7"/>
        <v>591.58200000000011</v>
      </c>
      <c r="N14" s="83">
        <f t="shared" si="8"/>
        <v>35.494920000000008</v>
      </c>
      <c r="O14" s="83">
        <f t="shared" si="9"/>
        <v>119.49492000000001</v>
      </c>
    </row>
    <row r="15" spans="1:15" x14ac:dyDescent="0.25">
      <c r="A15" s="71" t="str">
        <f>'Απόδοση Εγκατάστασης'!$A$15</f>
        <v>August</v>
      </c>
      <c r="B15" s="72">
        <f>'Απόδοση Εγκατάστασης'!$B$15</f>
        <v>162</v>
      </c>
      <c r="C15" s="72">
        <f t="shared" si="0"/>
        <v>962.28</v>
      </c>
      <c r="D15" s="81">
        <f>ι_Μοντέλο_Ελέγχου_α!$C$29</f>
        <v>600</v>
      </c>
      <c r="E15" s="82">
        <f>'Απόδοση Εγκατάστασης'!$E$15</f>
        <v>0.7</v>
      </c>
      <c r="F15" s="83">
        <f t="shared" si="1"/>
        <v>420</v>
      </c>
      <c r="G15" s="83">
        <f t="shared" si="2"/>
        <v>180</v>
      </c>
      <c r="H15" s="83">
        <f t="shared" si="3"/>
        <v>542.28</v>
      </c>
      <c r="I15" s="83">
        <f t="shared" si="4"/>
        <v>0</v>
      </c>
      <c r="J15" s="83">
        <f>0</f>
        <v>0</v>
      </c>
      <c r="K15" s="83">
        <f t="shared" si="5"/>
        <v>420</v>
      </c>
      <c r="L15" s="83">
        <f t="shared" si="6"/>
        <v>180</v>
      </c>
      <c r="M15" s="83">
        <f t="shared" si="7"/>
        <v>542.28</v>
      </c>
      <c r="N15" s="83">
        <f t="shared" si="8"/>
        <v>32.536799999999999</v>
      </c>
      <c r="O15" s="83">
        <f t="shared" si="9"/>
        <v>116.5368</v>
      </c>
    </row>
    <row r="16" spans="1:15" x14ac:dyDescent="0.25">
      <c r="A16" s="71" t="str">
        <f>'Απόδοση Εγκατάστασης'!$A$16</f>
        <v>September</v>
      </c>
      <c r="B16" s="72">
        <f>'Απόδοση Εγκατάστασης'!$B$16</f>
        <v>129.9</v>
      </c>
      <c r="C16" s="72">
        <f t="shared" si="0"/>
        <v>771.60599999999999</v>
      </c>
      <c r="D16" s="81">
        <f>ι_Μοντέλο_Ελέγχου_α!$C$30</f>
        <v>400</v>
      </c>
      <c r="E16" s="82">
        <f>'Απόδοση Εγκατάστασης'!$E$16</f>
        <v>0.6</v>
      </c>
      <c r="F16" s="83">
        <f t="shared" si="1"/>
        <v>240</v>
      </c>
      <c r="G16" s="83">
        <f t="shared" si="2"/>
        <v>160</v>
      </c>
      <c r="H16" s="83">
        <f t="shared" si="3"/>
        <v>531.60599999999999</v>
      </c>
      <c r="I16" s="83">
        <f t="shared" si="4"/>
        <v>0</v>
      </c>
      <c r="J16" s="83">
        <f>0</f>
        <v>0</v>
      </c>
      <c r="K16" s="83">
        <f t="shared" si="5"/>
        <v>240</v>
      </c>
      <c r="L16" s="83">
        <f t="shared" si="6"/>
        <v>160</v>
      </c>
      <c r="M16" s="83">
        <f t="shared" si="7"/>
        <v>531.60599999999999</v>
      </c>
      <c r="N16" s="83">
        <f t="shared" si="8"/>
        <v>31.896359999999998</v>
      </c>
      <c r="O16" s="83">
        <f t="shared" si="9"/>
        <v>79.896360000000001</v>
      </c>
    </row>
    <row r="17" spans="1:15" x14ac:dyDescent="0.25">
      <c r="A17" s="71" t="str">
        <f>'Απόδοση Εγκατάστασης'!$A$17</f>
        <v>October</v>
      </c>
      <c r="B17" s="72">
        <f>'Απόδοση Εγκατάστασης'!$B$17</f>
        <v>104</v>
      </c>
      <c r="C17" s="72">
        <f t="shared" si="0"/>
        <v>617.76</v>
      </c>
      <c r="D17" s="81">
        <f>ι_Μοντέλο_Ελέγχου_α!$C$31</f>
        <v>600</v>
      </c>
      <c r="E17" s="82">
        <f>'Απόδοση Εγκατάστασης'!$E$17</f>
        <v>0.55000000000000004</v>
      </c>
      <c r="F17" s="83">
        <f t="shared" si="1"/>
        <v>330</v>
      </c>
      <c r="G17" s="83">
        <f t="shared" si="2"/>
        <v>270</v>
      </c>
      <c r="H17" s="83">
        <f t="shared" si="3"/>
        <v>287.76</v>
      </c>
      <c r="I17" s="83">
        <f t="shared" si="4"/>
        <v>0</v>
      </c>
      <c r="J17" s="83">
        <f>0</f>
        <v>0</v>
      </c>
      <c r="K17" s="83">
        <f t="shared" si="5"/>
        <v>330</v>
      </c>
      <c r="L17" s="83">
        <f t="shared" si="6"/>
        <v>270</v>
      </c>
      <c r="M17" s="83">
        <f t="shared" si="7"/>
        <v>287.76</v>
      </c>
      <c r="N17" s="83">
        <f t="shared" si="8"/>
        <v>17.265599999999999</v>
      </c>
      <c r="O17" s="83">
        <f t="shared" si="9"/>
        <v>83.265600000000006</v>
      </c>
    </row>
    <row r="18" spans="1:15" x14ac:dyDescent="0.25">
      <c r="A18" s="71" t="str">
        <f>'Απόδοση Εγκατάστασης'!$A$18</f>
        <v>November</v>
      </c>
      <c r="B18" s="72">
        <f>'Απόδοση Εγκατάστασης'!$B$18</f>
        <v>77.400000000000006</v>
      </c>
      <c r="C18" s="72">
        <f t="shared" si="0"/>
        <v>459.75600000000009</v>
      </c>
      <c r="D18" s="81">
        <f>ι_Μοντέλο_Ελέγχου_α!$C$32</f>
        <v>800</v>
      </c>
      <c r="E18" s="82">
        <f>'Απόδοση Εγκατάστασης'!$E$18</f>
        <v>0.5</v>
      </c>
      <c r="F18" s="83">
        <f t="shared" si="1"/>
        <v>400</v>
      </c>
      <c r="G18" s="83">
        <f t="shared" si="2"/>
        <v>400</v>
      </c>
      <c r="H18" s="83">
        <f t="shared" si="3"/>
        <v>59.756000000000085</v>
      </c>
      <c r="I18" s="83">
        <f t="shared" si="4"/>
        <v>0</v>
      </c>
      <c r="J18" s="83">
        <f>0</f>
        <v>0</v>
      </c>
      <c r="K18" s="83">
        <f t="shared" si="5"/>
        <v>400</v>
      </c>
      <c r="L18" s="83">
        <f t="shared" si="6"/>
        <v>400</v>
      </c>
      <c r="M18" s="83">
        <f t="shared" si="7"/>
        <v>59.756000000000085</v>
      </c>
      <c r="N18" s="83">
        <f t="shared" si="8"/>
        <v>3.585360000000005</v>
      </c>
      <c r="O18" s="83">
        <f t="shared" si="9"/>
        <v>83.585360000000009</v>
      </c>
    </row>
    <row r="19" spans="1:15" x14ac:dyDescent="0.25">
      <c r="A19" s="71" t="str">
        <f>'Απόδοση Εγκατάστασης'!$A$19</f>
        <v>December</v>
      </c>
      <c r="B19" s="72">
        <f>'Απόδοση Εγκατάστασης'!$B$19</f>
        <v>73.3</v>
      </c>
      <c r="C19" s="72">
        <f t="shared" si="0"/>
        <v>435.40199999999999</v>
      </c>
      <c r="D19" s="81">
        <f>ι_Μοντέλο_Ελέγχου_α!$C$33</f>
        <v>800</v>
      </c>
      <c r="E19" s="82">
        <f>'Απόδοση Εγκατάστασης'!$E$19</f>
        <v>0.4</v>
      </c>
      <c r="F19" s="83">
        <f t="shared" si="1"/>
        <v>320</v>
      </c>
      <c r="G19" s="83">
        <f t="shared" si="2"/>
        <v>480</v>
      </c>
      <c r="H19" s="83">
        <f t="shared" si="3"/>
        <v>115.40199999999999</v>
      </c>
      <c r="I19" s="83">
        <f t="shared" si="4"/>
        <v>0</v>
      </c>
      <c r="J19" s="83">
        <f>0</f>
        <v>0</v>
      </c>
      <c r="K19" s="83">
        <f t="shared" si="5"/>
        <v>320</v>
      </c>
      <c r="L19" s="83">
        <f t="shared" si="6"/>
        <v>480</v>
      </c>
      <c r="M19" s="83">
        <f t="shared" si="7"/>
        <v>115.40199999999999</v>
      </c>
      <c r="N19" s="83">
        <f t="shared" si="8"/>
        <v>6.9241199999999994</v>
      </c>
      <c r="O19" s="83">
        <f t="shared" si="9"/>
        <v>70.924120000000002</v>
      </c>
    </row>
    <row r="20" spans="1:15" x14ac:dyDescent="0.25">
      <c r="A20" s="9"/>
      <c r="B20" s="58"/>
      <c r="C20" s="58"/>
      <c r="D20" s="58"/>
      <c r="E20" s="63"/>
      <c r="F20" s="58"/>
      <c r="G20" s="58"/>
      <c r="H20" s="58"/>
      <c r="I20" s="58"/>
      <c r="J20" s="58"/>
      <c r="K20" s="58"/>
      <c r="L20" s="58"/>
      <c r="M20" s="58"/>
      <c r="N20" s="58"/>
      <c r="O20" s="58"/>
    </row>
    <row r="21" spans="1:15" ht="31.5" customHeight="1" x14ac:dyDescent="0.25">
      <c r="A21" s="84" t="s">
        <v>235</v>
      </c>
      <c r="B21" s="85">
        <f>SUM(B8:B19)</f>
        <v>1445.1000000000001</v>
      </c>
      <c r="C21" s="86">
        <f>SUM(C8:C19)</f>
        <v>8583.8940000000002</v>
      </c>
      <c r="D21" s="87">
        <f>SUM(D8:D19)</f>
        <v>7500</v>
      </c>
      <c r="E21" s="88">
        <f>AVERAGE(E8:E19)</f>
        <v>0.58750000000000002</v>
      </c>
      <c r="F21" s="87">
        <f>SUM(F8:F19)</f>
        <v>4240</v>
      </c>
      <c r="G21" s="87">
        <f>SUM(G8:G19)</f>
        <v>3260</v>
      </c>
      <c r="H21" s="87">
        <f>SUM(H8:H19)</f>
        <v>4343.8940000000002</v>
      </c>
      <c r="I21" s="87">
        <f>$O$3</f>
        <v>0</v>
      </c>
      <c r="J21" s="87">
        <f t="shared" ref="J21:O21" si="10">SUM(J8:J19)</f>
        <v>0</v>
      </c>
      <c r="K21" s="87">
        <f t="shared" si="10"/>
        <v>4240</v>
      </c>
      <c r="L21" s="87">
        <f t="shared" si="10"/>
        <v>3260</v>
      </c>
      <c r="M21" s="87">
        <f t="shared" si="10"/>
        <v>4343.8940000000002</v>
      </c>
      <c r="N21" s="87">
        <f t="shared" si="10"/>
        <v>260.63364000000001</v>
      </c>
      <c r="O21" s="87">
        <f t="shared" si="10"/>
        <v>1108.6336399999998</v>
      </c>
    </row>
    <row r="22" spans="1:1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31.5" customHeight="1" x14ac:dyDescent="0.25">
      <c r="A23" s="84" t="s">
        <v>236</v>
      </c>
      <c r="B23" s="89">
        <f>ιγ_Αποτελέσματα_Σεναρίων!$D$8</f>
        <v>0</v>
      </c>
      <c r="C23" s="86" t="s">
        <v>237</v>
      </c>
      <c r="D23" s="90">
        <f>ιγ_Αποτελέσματα_Σεναρίων!$G$8</f>
        <v>3651.2</v>
      </c>
      <c r="E23" s="87" t="s">
        <v>238</v>
      </c>
      <c r="F23" s="90">
        <f>ιγ_Αποτελέσματα_Σεναρίων!$I$8</f>
        <v>3651.2</v>
      </c>
      <c r="G23" s="87" t="s">
        <v>48</v>
      </c>
      <c r="H23" s="90">
        <f>ιγ_Αποτελέσματα_Σεναρίων!$S$8</f>
        <v>-343.35575999999992</v>
      </c>
      <c r="I23" s="87" t="s">
        <v>51</v>
      </c>
      <c r="J23" s="90">
        <f>ιγ_Αποτελέσματα_Σεναρίων!$U$8</f>
        <v>16167.560615693248</v>
      </c>
      <c r="K23" s="87" t="s">
        <v>21</v>
      </c>
      <c r="L23" s="91">
        <f>ιγ_Αποτελέσματα_Σεναρίων!$V$8</f>
        <v>0.20031559105308341</v>
      </c>
      <c r="M23" s="87" t="s">
        <v>23</v>
      </c>
      <c r="N23" s="92">
        <f>ιγ_Αποτελέσματα_Σεναρίων!$X$8</f>
        <v>5.2552735751662327</v>
      </c>
      <c r="O23" s="87"/>
    </row>
  </sheetData>
  <sheetProtection sheet="1" objects="1" scenarios="1"/>
  <mergeCells count="10">
    <mergeCell ref="K4:N4"/>
    <mergeCell ref="A2:I2"/>
    <mergeCell ref="K3:N3"/>
    <mergeCell ref="B5:C5"/>
    <mergeCell ref="A1:O1"/>
    <mergeCell ref="A3:I3"/>
    <mergeCell ref="K5:O5"/>
    <mergeCell ref="K2:N2"/>
    <mergeCell ref="A4:I4"/>
    <mergeCell ref="D5:J5"/>
  </mergeCells>
  <pageMargins left="0.75" right="0.75" top="1" bottom="1" header="0.5" footer="0.5"/>
  <pageSetup paperSize="9" fitToHeight="0" orientation="landscape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4">
    <pageSetUpPr fitToPage="1"/>
  </sheetPr>
  <dimension ref="A1:V100"/>
  <sheetViews>
    <sheetView topLeftCell="A99" zoomScale="80" zoomScaleNormal="80" workbookViewId="0">
      <selection activeCell="U118" sqref="U118"/>
    </sheetView>
  </sheetViews>
  <sheetFormatPr defaultColWidth="12.5703125" defaultRowHeight="15" x14ac:dyDescent="0.25"/>
  <cols>
    <col min="1" max="1" width="20.5703125" customWidth="1"/>
    <col min="2" max="2" width="15.5703125" customWidth="1"/>
    <col min="3" max="3" width="17.5703125" customWidth="1"/>
    <col min="4" max="4" width="16.5703125" customWidth="1"/>
    <col min="5" max="5" width="18.5703125" customWidth="1"/>
    <col min="6" max="6" width="16.5703125" customWidth="1"/>
    <col min="9" max="13" width="14.5703125" customWidth="1"/>
    <col min="14" max="19" width="15.5703125" customWidth="1"/>
    <col min="20" max="21" width="10.5703125" customWidth="1"/>
  </cols>
  <sheetData>
    <row r="1" spans="1:22" ht="18" customHeight="1" x14ac:dyDescent="0.25">
      <c r="A1" s="287" t="s">
        <v>206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9"/>
    </row>
    <row r="2" spans="1:22" ht="15.75" thickBot="1" x14ac:dyDescent="0.3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9"/>
    </row>
    <row r="3" spans="1:22" ht="30.75" thickBot="1" x14ac:dyDescent="0.3">
      <c r="A3" s="268" t="s">
        <v>490</v>
      </c>
      <c r="B3" s="261"/>
      <c r="C3" s="261"/>
      <c r="D3" s="262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26.25" thickBot="1" x14ac:dyDescent="0.3">
      <c r="A4" s="263" t="s">
        <v>207</v>
      </c>
      <c r="B4" s="264" t="s">
        <v>208</v>
      </c>
      <c r="C4" s="265"/>
      <c r="D4" s="266" t="s">
        <v>209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x14ac:dyDescent="0.25">
      <c r="A5" s="254">
        <v>0</v>
      </c>
      <c r="B5" s="259">
        <f>A5+1</f>
        <v>1</v>
      </c>
      <c r="C5" s="9"/>
      <c r="D5" s="256">
        <v>0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x14ac:dyDescent="0.25">
      <c r="A6" s="254">
        <v>0.2</v>
      </c>
      <c r="B6" s="259">
        <f t="shared" ref="B6:B9" si="0">A6+1</f>
        <v>1.2</v>
      </c>
      <c r="C6" s="9"/>
      <c r="D6" s="256">
        <v>0.5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x14ac:dyDescent="0.25">
      <c r="A7" s="254">
        <v>0.4</v>
      </c>
      <c r="B7" s="259">
        <f t="shared" si="0"/>
        <v>1.4</v>
      </c>
      <c r="C7" s="9"/>
      <c r="D7" s="256">
        <v>0.8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x14ac:dyDescent="0.25">
      <c r="A8" s="254">
        <v>0.6</v>
      </c>
      <c r="B8" s="259">
        <f t="shared" si="0"/>
        <v>1.6</v>
      </c>
      <c r="C8" s="9"/>
      <c r="D8" s="257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15.75" thickBot="1" x14ac:dyDescent="0.3">
      <c r="A9" s="255">
        <v>1.5</v>
      </c>
      <c r="B9" s="260">
        <f t="shared" si="0"/>
        <v>2.5</v>
      </c>
      <c r="C9" s="253"/>
      <c r="D9" s="25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30.75" customHeight="1" thickBot="1" x14ac:dyDescent="0.3">
      <c r="A10" s="267" t="s">
        <v>491</v>
      </c>
      <c r="B10" s="261"/>
      <c r="C10" s="261"/>
      <c r="D10" s="262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38.25" x14ac:dyDescent="0.25">
      <c r="A11" s="9" t="s">
        <v>210</v>
      </c>
      <c r="B11" s="9" t="s">
        <v>207</v>
      </c>
      <c r="C11" s="9" t="s">
        <v>208</v>
      </c>
      <c r="D11" s="9" t="s">
        <v>209</v>
      </c>
      <c r="E11" s="9" t="s">
        <v>211</v>
      </c>
      <c r="F11" s="9" t="s">
        <v>1</v>
      </c>
      <c r="G11" s="9" t="s">
        <v>2</v>
      </c>
      <c r="H11" s="9" t="s">
        <v>4</v>
      </c>
      <c r="I11" s="9" t="s">
        <v>182</v>
      </c>
      <c r="J11" s="9" t="s">
        <v>9</v>
      </c>
      <c r="K11" s="9" t="s">
        <v>197</v>
      </c>
      <c r="L11" s="9" t="s">
        <v>13</v>
      </c>
      <c r="M11" s="9" t="s">
        <v>15</v>
      </c>
      <c r="N11" s="9" t="s">
        <v>5</v>
      </c>
      <c r="O11" s="9" t="s">
        <v>3</v>
      </c>
      <c r="P11" s="9" t="s">
        <v>7</v>
      </c>
      <c r="Q11" s="9" t="s">
        <v>16</v>
      </c>
      <c r="R11" s="9" t="s">
        <v>17</v>
      </c>
      <c r="S11" s="9" t="s">
        <v>19</v>
      </c>
      <c r="T11" s="9" t="s">
        <v>22</v>
      </c>
      <c r="U11" s="9" t="s">
        <v>23</v>
      </c>
      <c r="V11" s="9"/>
    </row>
    <row r="12" spans="1:22" x14ac:dyDescent="0.25">
      <c r="A12" s="9">
        <v>1</v>
      </c>
      <c r="B12" s="64">
        <f t="shared" ref="B12:B43" si="1">INDEX($A$5:$A$9,INT((ROW()-12)/15)+1)</f>
        <v>0</v>
      </c>
      <c r="C12" s="64">
        <f t="shared" ref="C12:C43" si="2">INDEX($B$5:$B$9,INT((ROW()-12)/15)+1)</f>
        <v>1</v>
      </c>
      <c r="D12" s="64">
        <f t="shared" ref="D12:D43" si="3">INDEX($D$5:$D$7,INT(MOD(ROW()-12,15)/5)+1)</f>
        <v>0</v>
      </c>
      <c r="E12" s="9" t="s">
        <v>186</v>
      </c>
      <c r="F12" s="10">
        <f>ι_Μοντέλο_Ελέγχου_α!B40</f>
        <v>2.5</v>
      </c>
      <c r="G12" s="10">
        <f>ι_Μοντέλο_Ελέγχου_α!C40</f>
        <v>75</v>
      </c>
      <c r="H12" s="10">
        <f>ια_Υπολογισμοί_Σεναρίων!$E$36</f>
        <v>3.96</v>
      </c>
      <c r="I12" s="58">
        <f>SUM('Απόδοση Εγκατάστασης'!$D$8:$D$19)*C12</f>
        <v>7500</v>
      </c>
      <c r="J12" s="58">
        <f>H12*ι_Μοντέλο_Ελέγχου_α!$B$14</f>
        <v>5722.5960000000005</v>
      </c>
      <c r="K12" s="58">
        <f>AnnualSelfConsumptionWithBattery(H12,ι_Μοντέλο_Ελέγχου_α!$B$22:$B$33,'Απόδοση Εγκατάστασης'!$D$8:$D$19,ι_Μοντέλο_Ελέγχου_α!$D$22:$D$33,G12,C12)</f>
        <v>4580.2719999999999</v>
      </c>
      <c r="L12" s="58">
        <f t="shared" ref="L12:L43" si="4">I12-K12</f>
        <v>2919.7280000000001</v>
      </c>
      <c r="M12" s="58">
        <f t="shared" ref="M12:M43" si="5">MAX(J12-K12,0)</f>
        <v>1142.3240000000005</v>
      </c>
      <c r="N12" s="65">
        <f>H12*ι_Μοντέλο_Ελέγχου_α!$B$7</f>
        <v>3651.2</v>
      </c>
      <c r="O12" s="65">
        <f>F12/2.5*ι_Μοντέλο_Ελέγχου_α!$B$18*(1-D12)</f>
        <v>1200</v>
      </c>
      <c r="P12" s="65">
        <f t="shared" ref="P12:P43" si="6">N12+O12</f>
        <v>4851.2</v>
      </c>
      <c r="Q12" s="65">
        <f>K12*ι_Μοντέλο_Ελέγχου_α!$B$8</f>
        <v>916.05439999999999</v>
      </c>
      <c r="R12" s="65">
        <f>M12*ι_Μοντέλο_Ελέγχου_α!$B$9</f>
        <v>68.539440000000027</v>
      </c>
      <c r="S12" s="65">
        <f t="shared" ref="S12:S43" si="7">Q12+R12</f>
        <v>984.59384</v>
      </c>
      <c r="T12" s="10">
        <f t="shared" ref="T12:T43" si="8">IFERROR(P12/S12,NA())</f>
        <v>4.9271078112777955</v>
      </c>
      <c r="U12" s="58">
        <f>IFERROR(-LN(1-P12*ι_Μοντέλο_Ελέγχου_α!$B$10/S12)/LN(1+ι_Μοντέλο_Ελέγχου_α!$B$10),NA())</f>
        <v>5.2387997912579234</v>
      </c>
      <c r="V12" s="9"/>
    </row>
    <row r="13" spans="1:22" x14ac:dyDescent="0.25">
      <c r="A13" s="9">
        <v>2</v>
      </c>
      <c r="B13" s="64">
        <f t="shared" si="1"/>
        <v>0</v>
      </c>
      <c r="C13" s="64">
        <f t="shared" si="2"/>
        <v>1</v>
      </c>
      <c r="D13" s="64">
        <f t="shared" si="3"/>
        <v>0</v>
      </c>
      <c r="E13" s="9" t="s">
        <v>187</v>
      </c>
      <c r="F13" s="10">
        <f>ι_Μοντέλο_Ελέγχου_α!B41</f>
        <v>5</v>
      </c>
      <c r="G13" s="10">
        <f>ι_Μοντέλο_Ελέγχου_α!C41</f>
        <v>150</v>
      </c>
      <c r="H13" s="10">
        <f>ια_Υπολογισμοί_Σεναρίων!$E$85</f>
        <v>3.96</v>
      </c>
      <c r="I13" s="58">
        <f>SUM('Απόδοση Εγκατάστασης'!$D$8:$D$19)*C13</f>
        <v>7500</v>
      </c>
      <c r="J13" s="58">
        <f>H13*ι_Μοντέλο_Ελέγχου_α!$B$14</f>
        <v>5722.5960000000005</v>
      </c>
      <c r="K13" s="58">
        <f>AnnualSelfConsumptionWithBattery(H13,ι_Μοντέλο_Ελέγχου_α!$B$22:$B$33,'Απόδοση Εγκατάστασης'!$D$8:$D$19,ι_Μοντέλο_Ελέγχου_α!$D$22:$D$33,G13,C13)</f>
        <v>4977.1120000000001</v>
      </c>
      <c r="L13" s="58">
        <f t="shared" si="4"/>
        <v>2522.8879999999999</v>
      </c>
      <c r="M13" s="58">
        <f t="shared" si="5"/>
        <v>745.48400000000038</v>
      </c>
      <c r="N13" s="65">
        <f>H13*ι_Μοντέλο_Ελέγχου_α!$B$7</f>
        <v>3651.2</v>
      </c>
      <c r="O13" s="65">
        <f>F13/2.5*ι_Μοντέλο_Ελέγχου_α!$B$18*(1-D13)</f>
        <v>2400</v>
      </c>
      <c r="P13" s="65">
        <f t="shared" si="6"/>
        <v>6051.2</v>
      </c>
      <c r="Q13" s="65">
        <f>K13*ι_Μοντέλο_Ελέγχου_α!$B$8</f>
        <v>995.42240000000004</v>
      </c>
      <c r="R13" s="65">
        <f>M13*ι_Μοντέλο_Ελέγχου_α!$B$9</f>
        <v>44.729040000000019</v>
      </c>
      <c r="S13" s="65">
        <f t="shared" si="7"/>
        <v>1040.1514400000001</v>
      </c>
      <c r="T13" s="10">
        <f t="shared" si="8"/>
        <v>5.8176144043025113</v>
      </c>
      <c r="U13" s="58">
        <f>IFERROR(-LN(1-P13*ι_Μοντέλο_Ελέγχου_α!$B$10/S13)/LN(1+ι_Μοντέλο_Ελέγχου_α!$B$10),NA())</f>
        <v>6.2464848657420795</v>
      </c>
      <c r="V13" s="9"/>
    </row>
    <row r="14" spans="1:22" x14ac:dyDescent="0.25">
      <c r="A14" s="9">
        <v>3</v>
      </c>
      <c r="B14" s="64">
        <f t="shared" si="1"/>
        <v>0</v>
      </c>
      <c r="C14" s="64">
        <f t="shared" si="2"/>
        <v>1</v>
      </c>
      <c r="D14" s="64">
        <f t="shared" si="3"/>
        <v>0</v>
      </c>
      <c r="E14" s="9" t="s">
        <v>188</v>
      </c>
      <c r="F14" s="10">
        <f>ι_Μοντέλο_Ελέγχου_α!B42</f>
        <v>7.5</v>
      </c>
      <c r="G14" s="10">
        <f>ι_Μοντέλο_Ελέγχου_α!C42</f>
        <v>225</v>
      </c>
      <c r="H14" s="10">
        <f>ια_Υπολογισμοί_Σεναρίων!$E$134</f>
        <v>3.96</v>
      </c>
      <c r="I14" s="58">
        <f>SUM('Απόδοση Εγκατάστασης'!$D$8:$D$19)*C14</f>
        <v>7500</v>
      </c>
      <c r="J14" s="58">
        <f>H14*ι_Μοντέλο_Ελέγχου_α!$B$14</f>
        <v>5722.5960000000005</v>
      </c>
      <c r="K14" s="58">
        <f>AnnualSelfConsumptionWithBattery(H14,ι_Μοντέλο_Ελέγχου_α!$B$22:$B$33,'Απόδοση Εγκατάστασης'!$D$8:$D$19,ι_Μοντέλο_Ελέγχου_α!$D$22:$D$33,G14,C14)</f>
        <v>5047.1120000000001</v>
      </c>
      <c r="L14" s="58">
        <f t="shared" si="4"/>
        <v>2452.8879999999999</v>
      </c>
      <c r="M14" s="58">
        <f t="shared" si="5"/>
        <v>675.48400000000038</v>
      </c>
      <c r="N14" s="65">
        <f>H14*ι_Μοντέλο_Ελέγχου_α!$B$7</f>
        <v>3651.2</v>
      </c>
      <c r="O14" s="65">
        <f>F14/2.5*ι_Μοντέλο_Ελέγχου_α!$B$18*(1-D14)</f>
        <v>3600</v>
      </c>
      <c r="P14" s="65">
        <f t="shared" si="6"/>
        <v>7251.2</v>
      </c>
      <c r="Q14" s="65">
        <f>K14*ι_Μοντέλο_Ελέγχου_α!$B$8</f>
        <v>1009.4224</v>
      </c>
      <c r="R14" s="65">
        <f>M14*ι_Μοντέλο_Ελέγχου_α!$B$9</f>
        <v>40.529040000000023</v>
      </c>
      <c r="S14" s="65">
        <f t="shared" si="7"/>
        <v>1049.95144</v>
      </c>
      <c r="T14" s="10">
        <f t="shared" si="8"/>
        <v>6.9062241583286932</v>
      </c>
      <c r="U14" s="58">
        <f>IFERROR(-LN(1-P14*ι_Μοντέλο_Ελέγχου_α!$B$10/S14)/LN(1+ι_Μοντέλο_Ελέγχου_α!$B$10),NA())</f>
        <v>7.5062984597871267</v>
      </c>
      <c r="V14" s="9"/>
    </row>
    <row r="15" spans="1:22" x14ac:dyDescent="0.25">
      <c r="A15" s="9">
        <v>4</v>
      </c>
      <c r="B15" s="64">
        <f t="shared" si="1"/>
        <v>0</v>
      </c>
      <c r="C15" s="64">
        <f t="shared" si="2"/>
        <v>1</v>
      </c>
      <c r="D15" s="64">
        <f t="shared" si="3"/>
        <v>0</v>
      </c>
      <c r="E15" s="9" t="s">
        <v>189</v>
      </c>
      <c r="F15" s="10">
        <f>ι_Μοντέλο_Ελέγχου_α!B43</f>
        <v>10</v>
      </c>
      <c r="G15" s="10">
        <f>ι_Μοντέλο_Ελέγχου_α!C43</f>
        <v>300</v>
      </c>
      <c r="H15" s="10">
        <f>ια_Υπολογισμοί_Σεναρίων!$E$183</f>
        <v>3.96</v>
      </c>
      <c r="I15" s="58">
        <f>SUM('Απόδοση Εγκατάστασης'!$D$8:$D$19)*C15</f>
        <v>7500</v>
      </c>
      <c r="J15" s="58">
        <f>H15*ι_Μοντέλο_Ελέγχου_α!$B$14</f>
        <v>5722.5960000000005</v>
      </c>
      <c r="K15" s="58">
        <f>AnnualSelfConsumptionWithBattery(H15,ι_Μοντέλο_Ελέγχου_α!$B$22:$B$33,'Απόδοση Εγκατάστασης'!$D$8:$D$19,ι_Μοντέλο_Ελέγχου_α!$D$22:$D$33,G15,C15)</f>
        <v>5047.1120000000001</v>
      </c>
      <c r="L15" s="58">
        <f t="shared" si="4"/>
        <v>2452.8879999999999</v>
      </c>
      <c r="M15" s="58">
        <f t="shared" si="5"/>
        <v>675.48400000000038</v>
      </c>
      <c r="N15" s="65">
        <f>H15*ι_Μοντέλο_Ελέγχου_α!$B$7</f>
        <v>3651.2</v>
      </c>
      <c r="O15" s="65">
        <f>F15/2.5*ι_Μοντέλο_Ελέγχου_α!$B$18*(1-D15)</f>
        <v>4800</v>
      </c>
      <c r="P15" s="65">
        <f t="shared" si="6"/>
        <v>8451.2000000000007</v>
      </c>
      <c r="Q15" s="65">
        <f>K15*ι_Μοντέλο_Ελέγχου_α!$B$8</f>
        <v>1009.4224</v>
      </c>
      <c r="R15" s="65">
        <f>M15*ι_Μοντέλο_Ελέγχου_α!$B$9</f>
        <v>40.529040000000023</v>
      </c>
      <c r="S15" s="65">
        <f t="shared" si="7"/>
        <v>1049.95144</v>
      </c>
      <c r="T15" s="10">
        <f t="shared" si="8"/>
        <v>8.0491341580521105</v>
      </c>
      <c r="U15" s="58">
        <f>IFERROR(-LN(1-P15*ι_Μοντέλο_Ελέγχου_α!$B$10/S15)/LN(1+ι_Μοντέλο_Ελέγχου_α!$B$10),NA())</f>
        <v>8.8636689590204565</v>
      </c>
      <c r="V15" s="9"/>
    </row>
    <row r="16" spans="1:22" x14ac:dyDescent="0.25">
      <c r="A16" s="9">
        <v>5</v>
      </c>
      <c r="B16" s="64">
        <f t="shared" si="1"/>
        <v>0</v>
      </c>
      <c r="C16" s="64">
        <f t="shared" si="2"/>
        <v>1</v>
      </c>
      <c r="D16" s="64">
        <f t="shared" si="3"/>
        <v>0</v>
      </c>
      <c r="E16" s="9" t="s">
        <v>190</v>
      </c>
      <c r="F16" s="10">
        <f>ι_Μοντέλο_Ελέγχου_α!B44</f>
        <v>0</v>
      </c>
      <c r="G16" s="10">
        <f>ι_Μοντέλο_Ελέγχου_α!C44</f>
        <v>0</v>
      </c>
      <c r="H16" s="10">
        <f>ια_Υπολογισμοί_Σεναρίων!$E$232</f>
        <v>5.94</v>
      </c>
      <c r="I16" s="58">
        <f>SUM('Απόδοση Εγκατάστασης'!$D$8:$D$19)*C16</f>
        <v>7500</v>
      </c>
      <c r="J16" s="58">
        <f>H16*ι_Μοντέλο_Ελέγχου_α!$B$14</f>
        <v>8583.8940000000021</v>
      </c>
      <c r="K16" s="58">
        <f>AnnualSelfConsumptionWithBattery(H16,ι_Μοντέλο_Ελέγχου_α!$B$22:$B$33,'Απόδοση Εγκατάστασης'!$D$8:$D$19,ι_Μοντέλο_Ελέγχου_α!$D$22:$D$33,G16,C16)</f>
        <v>4240</v>
      </c>
      <c r="L16" s="58">
        <f t="shared" si="4"/>
        <v>3260</v>
      </c>
      <c r="M16" s="58">
        <f t="shared" si="5"/>
        <v>4343.8940000000021</v>
      </c>
      <c r="N16" s="65">
        <f>H16*ι_Μοντέλο_Ελέγχου_α!$B$7</f>
        <v>5476.8</v>
      </c>
      <c r="O16" s="65">
        <f>F16/2.5*ι_Μοντέλο_Ελέγχου_α!$B$18*(1-D16)</f>
        <v>0</v>
      </c>
      <c r="P16" s="65">
        <f t="shared" si="6"/>
        <v>5476.8</v>
      </c>
      <c r="Q16" s="65">
        <f>K16*ι_Μοντέλο_Ελέγχου_α!$B$8</f>
        <v>848</v>
      </c>
      <c r="R16" s="65">
        <f>M16*ι_Μοντέλο_Ελέγχου_α!$B$9</f>
        <v>260.63364000000013</v>
      </c>
      <c r="S16" s="65">
        <f t="shared" si="7"/>
        <v>1108.63364</v>
      </c>
      <c r="T16" s="10">
        <f t="shared" si="8"/>
        <v>4.9401351378801746</v>
      </c>
      <c r="U16" s="58">
        <f>IFERROR(-LN(1-P16*ι_Μοντέλο_Ελέγχου_α!$B$10/S16)/LN(1+ι_Μοντέλο_Ελέγχου_α!$B$10),NA())</f>
        <v>5.2533973365172866</v>
      </c>
      <c r="V16" s="9"/>
    </row>
    <row r="17" spans="1:22" x14ac:dyDescent="0.25">
      <c r="A17" s="9">
        <v>6</v>
      </c>
      <c r="B17" s="64">
        <f t="shared" si="1"/>
        <v>0</v>
      </c>
      <c r="C17" s="64">
        <f t="shared" si="2"/>
        <v>1</v>
      </c>
      <c r="D17" s="64">
        <f t="shared" si="3"/>
        <v>0.5</v>
      </c>
      <c r="E17" s="9" t="s">
        <v>186</v>
      </c>
      <c r="F17" s="10">
        <f>ι_Μοντέλο_Ελέγχου_α!B40</f>
        <v>2.5</v>
      </c>
      <c r="G17" s="10">
        <f>ι_Μοντέλο_Ελέγχου_α!C40</f>
        <v>75</v>
      </c>
      <c r="H17" s="10">
        <f>ια_Υπολογισμοί_Σεναρίων!$E$36</f>
        <v>3.96</v>
      </c>
      <c r="I17" s="58">
        <f>SUM('Απόδοση Εγκατάστασης'!$D$8:$D$19)*C17</f>
        <v>7500</v>
      </c>
      <c r="J17" s="58">
        <f>H17*ι_Μοντέλο_Ελέγχου_α!$B$14</f>
        <v>5722.5960000000005</v>
      </c>
      <c r="K17" s="58">
        <f>AnnualSelfConsumptionWithBattery(H17,ι_Μοντέλο_Ελέγχου_α!$B$22:$B$33,'Απόδοση Εγκατάστασης'!$D$8:$D$19,ι_Μοντέλο_Ελέγχου_α!$D$22:$D$33,G17,C17)</f>
        <v>4580.2719999999999</v>
      </c>
      <c r="L17" s="58">
        <f t="shared" si="4"/>
        <v>2919.7280000000001</v>
      </c>
      <c r="M17" s="58">
        <f t="shared" si="5"/>
        <v>1142.3240000000005</v>
      </c>
      <c r="N17" s="65">
        <f>H17*ι_Μοντέλο_Ελέγχου_α!$B$7</f>
        <v>3651.2</v>
      </c>
      <c r="O17" s="65">
        <f>F17/2.5*ι_Μοντέλο_Ελέγχου_α!$B$18*(1-D17)</f>
        <v>600</v>
      </c>
      <c r="P17" s="65">
        <f t="shared" si="6"/>
        <v>4251.2</v>
      </c>
      <c r="Q17" s="65">
        <f>K17*ι_Μοντέλο_Ελέγχου_α!$B$8</f>
        <v>916.05439999999999</v>
      </c>
      <c r="R17" s="65">
        <f>M17*ι_Μοντέλο_Ελέγχου_α!$B$9</f>
        <v>68.539440000000027</v>
      </c>
      <c r="S17" s="65">
        <f t="shared" si="7"/>
        <v>984.59384</v>
      </c>
      <c r="T17" s="10">
        <f t="shared" si="8"/>
        <v>4.3177194770993079</v>
      </c>
      <c r="U17" s="58">
        <f>IFERROR(-LN(1-P17*ι_Μοντέλο_Ελέγχου_α!$B$10/S17)/LN(1+ι_Μοντέλο_Ελέγχου_α!$B$10),NA())</f>
        <v>4.5606330965288606</v>
      </c>
      <c r="V17" s="9"/>
    </row>
    <row r="18" spans="1:22" x14ac:dyDescent="0.25">
      <c r="A18" s="9">
        <v>7</v>
      </c>
      <c r="B18" s="64">
        <f t="shared" si="1"/>
        <v>0</v>
      </c>
      <c r="C18" s="64">
        <f t="shared" si="2"/>
        <v>1</v>
      </c>
      <c r="D18" s="64">
        <f t="shared" si="3"/>
        <v>0.5</v>
      </c>
      <c r="E18" s="9" t="s">
        <v>187</v>
      </c>
      <c r="F18" s="10">
        <f>ι_Μοντέλο_Ελέγχου_α!B41</f>
        <v>5</v>
      </c>
      <c r="G18" s="10">
        <f>ι_Μοντέλο_Ελέγχου_α!C41</f>
        <v>150</v>
      </c>
      <c r="H18" s="10">
        <f>ια_Υπολογισμοί_Σεναρίων!$E$85</f>
        <v>3.96</v>
      </c>
      <c r="I18" s="58">
        <f>SUM('Απόδοση Εγκατάστασης'!$D$8:$D$19)*C18</f>
        <v>7500</v>
      </c>
      <c r="J18" s="58">
        <f>H18*ι_Μοντέλο_Ελέγχου_α!$B$14</f>
        <v>5722.5960000000005</v>
      </c>
      <c r="K18" s="58">
        <f>AnnualSelfConsumptionWithBattery(H18,ι_Μοντέλο_Ελέγχου_α!$B$22:$B$33,'Απόδοση Εγκατάστασης'!$D$8:$D$19,ι_Μοντέλο_Ελέγχου_α!$D$22:$D$33,G18,C18)</f>
        <v>4977.1120000000001</v>
      </c>
      <c r="L18" s="58">
        <f t="shared" si="4"/>
        <v>2522.8879999999999</v>
      </c>
      <c r="M18" s="58">
        <f t="shared" si="5"/>
        <v>745.48400000000038</v>
      </c>
      <c r="N18" s="65">
        <f>H18*ι_Μοντέλο_Ελέγχου_α!$B$7</f>
        <v>3651.2</v>
      </c>
      <c r="O18" s="65">
        <f>F18/2.5*ι_Μοντέλο_Ελέγχου_α!$B$18*(1-D18)</f>
        <v>1200</v>
      </c>
      <c r="P18" s="65">
        <f t="shared" si="6"/>
        <v>4851.2</v>
      </c>
      <c r="Q18" s="65">
        <f>K18*ι_Μοντέλο_Ελέγχου_α!$B$8</f>
        <v>995.42240000000004</v>
      </c>
      <c r="R18" s="65">
        <f>M18*ι_Μοντέλο_Ελέγχου_α!$B$9</f>
        <v>44.729040000000019</v>
      </c>
      <c r="S18" s="65">
        <f t="shared" si="7"/>
        <v>1040.1514400000001</v>
      </c>
      <c r="T18" s="10">
        <f t="shared" si="8"/>
        <v>4.6639362437454297</v>
      </c>
      <c r="U18" s="58">
        <f>IFERROR(-LN(1-P18*ι_Μοντέλο_Ελέγχου_α!$B$10/S18)/LN(1+ι_Μοντέλο_Ελέγχου_α!$B$10),NA())</f>
        <v>4.9448075142767891</v>
      </c>
      <c r="V18" s="9"/>
    </row>
    <row r="19" spans="1:22" x14ac:dyDescent="0.25">
      <c r="A19" s="9">
        <v>8</v>
      </c>
      <c r="B19" s="64">
        <f t="shared" si="1"/>
        <v>0</v>
      </c>
      <c r="C19" s="64">
        <f t="shared" si="2"/>
        <v>1</v>
      </c>
      <c r="D19" s="64">
        <f t="shared" si="3"/>
        <v>0.5</v>
      </c>
      <c r="E19" s="9" t="s">
        <v>188</v>
      </c>
      <c r="F19" s="10">
        <f>ι_Μοντέλο_Ελέγχου_α!B42</f>
        <v>7.5</v>
      </c>
      <c r="G19" s="10">
        <f>ι_Μοντέλο_Ελέγχου_α!C42</f>
        <v>225</v>
      </c>
      <c r="H19" s="10">
        <f>ια_Υπολογισμοί_Σεναρίων!$E$134</f>
        <v>3.96</v>
      </c>
      <c r="I19" s="58">
        <f>SUM('Απόδοση Εγκατάστασης'!$D$8:$D$19)*C19</f>
        <v>7500</v>
      </c>
      <c r="J19" s="58">
        <f>H19*ι_Μοντέλο_Ελέγχου_α!$B$14</f>
        <v>5722.5960000000005</v>
      </c>
      <c r="K19" s="58">
        <f>AnnualSelfConsumptionWithBattery(H19,ι_Μοντέλο_Ελέγχου_α!$B$22:$B$33,'Απόδοση Εγκατάστασης'!$D$8:$D$19,ι_Μοντέλο_Ελέγχου_α!$D$22:$D$33,G19,C19)</f>
        <v>5047.1120000000001</v>
      </c>
      <c r="L19" s="58">
        <f t="shared" si="4"/>
        <v>2452.8879999999999</v>
      </c>
      <c r="M19" s="58">
        <f t="shared" si="5"/>
        <v>675.48400000000038</v>
      </c>
      <c r="N19" s="65">
        <f>H19*ι_Μοντέλο_Ελέγχου_α!$B$7</f>
        <v>3651.2</v>
      </c>
      <c r="O19" s="65">
        <f>F19/2.5*ι_Μοντέλο_Ελέγχου_α!$B$18*(1-D19)</f>
        <v>1800</v>
      </c>
      <c r="P19" s="65">
        <f t="shared" si="6"/>
        <v>5451.2</v>
      </c>
      <c r="Q19" s="65">
        <f>K19*ι_Μοντέλο_Ελέγχου_α!$B$8</f>
        <v>1009.4224</v>
      </c>
      <c r="R19" s="65">
        <f>M19*ι_Μοντέλο_Ελέγχου_α!$B$9</f>
        <v>40.529040000000023</v>
      </c>
      <c r="S19" s="65">
        <f t="shared" si="7"/>
        <v>1049.95144</v>
      </c>
      <c r="T19" s="10">
        <f t="shared" si="8"/>
        <v>5.1918591587435694</v>
      </c>
      <c r="U19" s="58">
        <f>IFERROR(-LN(1-P19*ι_Μοντέλο_Ελέγχου_α!$B$10/S19)/LN(1+ι_Μοντέλο_Ελέγχου_α!$B$10),NA())</f>
        <v>5.5362940315474383</v>
      </c>
      <c r="V19" s="9"/>
    </row>
    <row r="20" spans="1:22" x14ac:dyDescent="0.25">
      <c r="A20" s="9">
        <v>9</v>
      </c>
      <c r="B20" s="64">
        <f t="shared" si="1"/>
        <v>0</v>
      </c>
      <c r="C20" s="64">
        <f t="shared" si="2"/>
        <v>1</v>
      </c>
      <c r="D20" s="64">
        <f t="shared" si="3"/>
        <v>0.5</v>
      </c>
      <c r="E20" s="9" t="s">
        <v>189</v>
      </c>
      <c r="F20" s="10">
        <f>ι_Μοντέλο_Ελέγχου_α!B43</f>
        <v>10</v>
      </c>
      <c r="G20" s="10">
        <f>ι_Μοντέλο_Ελέγχου_α!C43</f>
        <v>300</v>
      </c>
      <c r="H20" s="10">
        <f>ια_Υπολογισμοί_Σεναρίων!$E$183</f>
        <v>3.96</v>
      </c>
      <c r="I20" s="58">
        <f>SUM('Απόδοση Εγκατάστασης'!$D$8:$D$19)*C20</f>
        <v>7500</v>
      </c>
      <c r="J20" s="58">
        <f>H20*ι_Μοντέλο_Ελέγχου_α!$B$14</f>
        <v>5722.5960000000005</v>
      </c>
      <c r="K20" s="58">
        <f>AnnualSelfConsumptionWithBattery(H20,ι_Μοντέλο_Ελέγχου_α!$B$22:$B$33,'Απόδοση Εγκατάστασης'!$D$8:$D$19,ι_Μοντέλο_Ελέγχου_α!$D$22:$D$33,G20,C20)</f>
        <v>5047.1120000000001</v>
      </c>
      <c r="L20" s="58">
        <f t="shared" si="4"/>
        <v>2452.8879999999999</v>
      </c>
      <c r="M20" s="58">
        <f t="shared" si="5"/>
        <v>675.48400000000038</v>
      </c>
      <c r="N20" s="65">
        <f>H20*ι_Μοντέλο_Ελέγχου_α!$B$7</f>
        <v>3651.2</v>
      </c>
      <c r="O20" s="65">
        <f>F20/2.5*ι_Μοντέλο_Ελέγχου_α!$B$18*(1-D20)</f>
        <v>2400</v>
      </c>
      <c r="P20" s="65">
        <f t="shared" si="6"/>
        <v>6051.2</v>
      </c>
      <c r="Q20" s="65">
        <f>K20*ι_Μοντέλο_Ελέγχου_α!$B$8</f>
        <v>1009.4224</v>
      </c>
      <c r="R20" s="65">
        <f>M20*ι_Μοντέλο_Ελέγχου_α!$B$9</f>
        <v>40.529040000000023</v>
      </c>
      <c r="S20" s="65">
        <f t="shared" si="7"/>
        <v>1049.95144</v>
      </c>
      <c r="T20" s="10">
        <f t="shared" si="8"/>
        <v>5.7633141586052776</v>
      </c>
      <c r="U20" s="58">
        <f>IFERROR(-LN(1-P20*ι_Μοντέλο_Ελέγχου_α!$B$10/S20)/LN(1+ι_Μοντέλο_Ελέγχου_α!$B$10),NA())</f>
        <v>6.1844603929409727</v>
      </c>
      <c r="V20" s="9"/>
    </row>
    <row r="21" spans="1:22" x14ac:dyDescent="0.25">
      <c r="A21" s="9">
        <v>10</v>
      </c>
      <c r="B21" s="64">
        <f t="shared" si="1"/>
        <v>0</v>
      </c>
      <c r="C21" s="64">
        <f t="shared" si="2"/>
        <v>1</v>
      </c>
      <c r="D21" s="64">
        <f t="shared" si="3"/>
        <v>0.5</v>
      </c>
      <c r="E21" s="9" t="s">
        <v>190</v>
      </c>
      <c r="F21" s="10">
        <f>ι_Μοντέλο_Ελέγχου_α!B44</f>
        <v>0</v>
      </c>
      <c r="G21" s="10">
        <f>ι_Μοντέλο_Ελέγχου_α!C44</f>
        <v>0</v>
      </c>
      <c r="H21" s="10">
        <f>ια_Υπολογισμοί_Σεναρίων!$E$232</f>
        <v>5.94</v>
      </c>
      <c r="I21" s="58">
        <f>SUM('Απόδοση Εγκατάστασης'!$D$8:$D$19)*C21</f>
        <v>7500</v>
      </c>
      <c r="J21" s="58">
        <f>H21*ι_Μοντέλο_Ελέγχου_α!$B$14</f>
        <v>8583.8940000000021</v>
      </c>
      <c r="K21" s="58">
        <f>AnnualSelfConsumptionWithBattery(H21,ι_Μοντέλο_Ελέγχου_α!$B$22:$B$33,'Απόδοση Εγκατάστασης'!$D$8:$D$19,ι_Μοντέλο_Ελέγχου_α!$D$22:$D$33,G21,C21)</f>
        <v>4240</v>
      </c>
      <c r="L21" s="58">
        <f t="shared" si="4"/>
        <v>3260</v>
      </c>
      <c r="M21" s="58">
        <f t="shared" si="5"/>
        <v>4343.8940000000021</v>
      </c>
      <c r="N21" s="65">
        <f>H21*ι_Μοντέλο_Ελέγχου_α!$B$7</f>
        <v>5476.8</v>
      </c>
      <c r="O21" s="65">
        <f>F21/2.5*ι_Μοντέλο_Ελέγχου_α!$B$18*(1-D21)</f>
        <v>0</v>
      </c>
      <c r="P21" s="65">
        <f t="shared" si="6"/>
        <v>5476.8</v>
      </c>
      <c r="Q21" s="65">
        <f>K21*ι_Μοντέλο_Ελέγχου_α!$B$8</f>
        <v>848</v>
      </c>
      <c r="R21" s="65">
        <f>M21*ι_Μοντέλο_Ελέγχου_α!$B$9</f>
        <v>260.63364000000013</v>
      </c>
      <c r="S21" s="65">
        <f t="shared" si="7"/>
        <v>1108.63364</v>
      </c>
      <c r="T21" s="10">
        <f t="shared" si="8"/>
        <v>4.9401351378801746</v>
      </c>
      <c r="U21" s="58">
        <f>IFERROR(-LN(1-P21*ι_Μοντέλο_Ελέγχου_α!$B$10/S21)/LN(1+ι_Μοντέλο_Ελέγχου_α!$B$10),NA())</f>
        <v>5.2533973365172866</v>
      </c>
      <c r="V21" s="9"/>
    </row>
    <row r="22" spans="1:22" x14ac:dyDescent="0.25">
      <c r="A22" s="9">
        <v>11</v>
      </c>
      <c r="B22" s="64">
        <f t="shared" si="1"/>
        <v>0</v>
      </c>
      <c r="C22" s="64">
        <f t="shared" si="2"/>
        <v>1</v>
      </c>
      <c r="D22" s="64">
        <f t="shared" si="3"/>
        <v>0.8</v>
      </c>
      <c r="E22" s="9" t="s">
        <v>186</v>
      </c>
      <c r="F22" s="10">
        <f>ι_Μοντέλο_Ελέγχου_α!B40</f>
        <v>2.5</v>
      </c>
      <c r="G22" s="10">
        <f>ι_Μοντέλο_Ελέγχου_α!C40</f>
        <v>75</v>
      </c>
      <c r="H22" s="10">
        <f>ια_Υπολογισμοί_Σεναρίων!$E$36</f>
        <v>3.96</v>
      </c>
      <c r="I22" s="58">
        <f>SUM('Απόδοση Εγκατάστασης'!$D$8:$D$19)*C22</f>
        <v>7500</v>
      </c>
      <c r="J22" s="58">
        <f>H22*ι_Μοντέλο_Ελέγχου_α!$B$14</f>
        <v>5722.5960000000005</v>
      </c>
      <c r="K22" s="58">
        <f>AnnualSelfConsumptionWithBattery(H22,ι_Μοντέλο_Ελέγχου_α!$B$22:$B$33,'Απόδοση Εγκατάστασης'!$D$8:$D$19,ι_Μοντέλο_Ελέγχου_α!$D$22:$D$33,G22,C22)</f>
        <v>4580.2719999999999</v>
      </c>
      <c r="L22" s="58">
        <f t="shared" si="4"/>
        <v>2919.7280000000001</v>
      </c>
      <c r="M22" s="58">
        <f t="shared" si="5"/>
        <v>1142.3240000000005</v>
      </c>
      <c r="N22" s="65">
        <f>H22*ι_Μοντέλο_Ελέγχου_α!$B$7</f>
        <v>3651.2</v>
      </c>
      <c r="O22" s="65">
        <f>F22/2.5*ι_Μοντέλο_Ελέγχου_α!$B$18*(1-D22)</f>
        <v>239.99999999999994</v>
      </c>
      <c r="P22" s="65">
        <f t="shared" si="6"/>
        <v>3891.2</v>
      </c>
      <c r="Q22" s="65">
        <f>K22*ι_Μοντέλο_Ελέγχου_α!$B$8</f>
        <v>916.05439999999999</v>
      </c>
      <c r="R22" s="65">
        <f>M22*ι_Μοντέλο_Ελέγχου_α!$B$9</f>
        <v>68.539440000000027</v>
      </c>
      <c r="S22" s="65">
        <f t="shared" si="7"/>
        <v>984.59384</v>
      </c>
      <c r="T22" s="10">
        <f t="shared" si="8"/>
        <v>3.9520864765922159</v>
      </c>
      <c r="U22" s="58">
        <f>IFERROR(-LN(1-P22*ι_Μοντέλο_Ελέγχου_α!$B$10/S22)/LN(1+ι_Μοντέλο_Ελέγχου_α!$B$10),NA())</f>
        <v>4.1580620318566393</v>
      </c>
      <c r="V22" s="9"/>
    </row>
    <row r="23" spans="1:22" x14ac:dyDescent="0.25">
      <c r="A23" s="9">
        <v>12</v>
      </c>
      <c r="B23" s="64">
        <f t="shared" si="1"/>
        <v>0</v>
      </c>
      <c r="C23" s="64">
        <f t="shared" si="2"/>
        <v>1</v>
      </c>
      <c r="D23" s="64">
        <f t="shared" si="3"/>
        <v>0.8</v>
      </c>
      <c r="E23" s="9" t="s">
        <v>187</v>
      </c>
      <c r="F23" s="10">
        <f>ι_Μοντέλο_Ελέγχου_α!B41</f>
        <v>5</v>
      </c>
      <c r="G23" s="10">
        <f>ι_Μοντέλο_Ελέγχου_α!C41</f>
        <v>150</v>
      </c>
      <c r="H23" s="10">
        <f>ια_Υπολογισμοί_Σεναρίων!$E$85</f>
        <v>3.96</v>
      </c>
      <c r="I23" s="58">
        <f>SUM('Απόδοση Εγκατάστασης'!$D$8:$D$19)*C23</f>
        <v>7500</v>
      </c>
      <c r="J23" s="58">
        <f>H23*ι_Μοντέλο_Ελέγχου_α!$B$14</f>
        <v>5722.5960000000005</v>
      </c>
      <c r="K23" s="58">
        <f>AnnualSelfConsumptionWithBattery(H23,ι_Μοντέλο_Ελέγχου_α!$B$22:$B$33,'Απόδοση Εγκατάστασης'!$D$8:$D$19,ι_Μοντέλο_Ελέγχου_α!$D$22:$D$33,G23,C23)</f>
        <v>4977.1120000000001</v>
      </c>
      <c r="L23" s="58">
        <f t="shared" si="4"/>
        <v>2522.8879999999999</v>
      </c>
      <c r="M23" s="58">
        <f t="shared" si="5"/>
        <v>745.48400000000038</v>
      </c>
      <c r="N23" s="65">
        <f>H23*ι_Μοντέλο_Ελέγχου_α!$B$7</f>
        <v>3651.2</v>
      </c>
      <c r="O23" s="65">
        <f>F23/2.5*ι_Μοντέλο_Ελέγχου_α!$B$18*(1-D23)</f>
        <v>479.99999999999989</v>
      </c>
      <c r="P23" s="65">
        <f t="shared" si="6"/>
        <v>4131.2</v>
      </c>
      <c r="Q23" s="65">
        <f>K23*ι_Μοντέλο_Ελέγχου_α!$B$8</f>
        <v>995.42240000000004</v>
      </c>
      <c r="R23" s="65">
        <f>M23*ι_Μοντέλο_Ελέγχου_α!$B$9</f>
        <v>44.729040000000019</v>
      </c>
      <c r="S23" s="65">
        <f t="shared" si="7"/>
        <v>1040.1514400000001</v>
      </c>
      <c r="T23" s="10">
        <f t="shared" si="8"/>
        <v>3.9717293474111801</v>
      </c>
      <c r="U23" s="58">
        <f>IFERROR(-LN(1-P23*ι_Μοντέλο_Ελέγχου_α!$B$10/S23)/LN(1+ι_Μοντέλο_Ελέγχου_α!$B$10),NA())</f>
        <v>4.1796079415933844</v>
      </c>
      <c r="V23" s="9"/>
    </row>
    <row r="24" spans="1:22" x14ac:dyDescent="0.25">
      <c r="A24" s="9">
        <v>13</v>
      </c>
      <c r="B24" s="64">
        <f t="shared" si="1"/>
        <v>0</v>
      </c>
      <c r="C24" s="64">
        <f t="shared" si="2"/>
        <v>1</v>
      </c>
      <c r="D24" s="64">
        <f t="shared" si="3"/>
        <v>0.8</v>
      </c>
      <c r="E24" s="9" t="s">
        <v>188</v>
      </c>
      <c r="F24" s="10">
        <f>ι_Μοντέλο_Ελέγχου_α!B42</f>
        <v>7.5</v>
      </c>
      <c r="G24" s="10">
        <f>ι_Μοντέλο_Ελέγχου_α!C42</f>
        <v>225</v>
      </c>
      <c r="H24" s="10">
        <f>ια_Υπολογισμοί_Σεναρίων!$E$134</f>
        <v>3.96</v>
      </c>
      <c r="I24" s="58">
        <f>SUM('Απόδοση Εγκατάστασης'!$D$8:$D$19)*C24</f>
        <v>7500</v>
      </c>
      <c r="J24" s="58">
        <f>H24*ι_Μοντέλο_Ελέγχου_α!$B$14</f>
        <v>5722.5960000000005</v>
      </c>
      <c r="K24" s="58">
        <f>AnnualSelfConsumptionWithBattery(H24,ι_Μοντέλο_Ελέγχου_α!$B$22:$B$33,'Απόδοση Εγκατάστασης'!$D$8:$D$19,ι_Μοντέλο_Ελέγχου_α!$D$22:$D$33,G24,C24)</f>
        <v>5047.1120000000001</v>
      </c>
      <c r="L24" s="58">
        <f t="shared" si="4"/>
        <v>2452.8879999999999</v>
      </c>
      <c r="M24" s="58">
        <f t="shared" si="5"/>
        <v>675.48400000000038</v>
      </c>
      <c r="N24" s="65">
        <f>H24*ι_Μοντέλο_Ελέγχου_α!$B$7</f>
        <v>3651.2</v>
      </c>
      <c r="O24" s="65">
        <f>F24/2.5*ι_Μοντέλο_Ελέγχου_α!$B$18*(1-D24)</f>
        <v>719.99999999999989</v>
      </c>
      <c r="P24" s="65">
        <f t="shared" si="6"/>
        <v>4371.2</v>
      </c>
      <c r="Q24" s="65">
        <f>K24*ι_Μοντέλο_Ελέγχου_α!$B$8</f>
        <v>1009.4224</v>
      </c>
      <c r="R24" s="65">
        <f>M24*ι_Μοντέλο_Ελέγχου_α!$B$9</f>
        <v>40.529040000000023</v>
      </c>
      <c r="S24" s="65">
        <f t="shared" si="7"/>
        <v>1049.95144</v>
      </c>
      <c r="T24" s="10">
        <f t="shared" si="8"/>
        <v>4.1632401589924957</v>
      </c>
      <c r="U24" s="58">
        <f>IFERROR(-LN(1-P24*ι_Μοντέλο_Ελέγχου_α!$B$10/S24)/LN(1+ι_Μοντέλο_Ελέγχου_α!$B$10),NA())</f>
        <v>4.3901558271193126</v>
      </c>
      <c r="V24" s="9"/>
    </row>
    <row r="25" spans="1:22" x14ac:dyDescent="0.25">
      <c r="A25" s="9">
        <v>14</v>
      </c>
      <c r="B25" s="64">
        <f t="shared" si="1"/>
        <v>0</v>
      </c>
      <c r="C25" s="64">
        <f t="shared" si="2"/>
        <v>1</v>
      </c>
      <c r="D25" s="64">
        <f t="shared" si="3"/>
        <v>0.8</v>
      </c>
      <c r="E25" s="9" t="s">
        <v>189</v>
      </c>
      <c r="F25" s="10">
        <f>ι_Μοντέλο_Ελέγχου_α!B43</f>
        <v>10</v>
      </c>
      <c r="G25" s="10">
        <f>ι_Μοντέλο_Ελέγχου_α!C43</f>
        <v>300</v>
      </c>
      <c r="H25" s="10">
        <f>ια_Υπολογισμοί_Σεναρίων!$E$183</f>
        <v>3.96</v>
      </c>
      <c r="I25" s="58">
        <f>SUM('Απόδοση Εγκατάστασης'!$D$8:$D$19)*C25</f>
        <v>7500</v>
      </c>
      <c r="J25" s="58">
        <f>H25*ι_Μοντέλο_Ελέγχου_α!$B$14</f>
        <v>5722.5960000000005</v>
      </c>
      <c r="K25" s="58">
        <f>AnnualSelfConsumptionWithBattery(H25,ι_Μοντέλο_Ελέγχου_α!$B$22:$B$33,'Απόδοση Εγκατάστασης'!$D$8:$D$19,ι_Μοντέλο_Ελέγχου_α!$D$22:$D$33,G25,C25)</f>
        <v>5047.1120000000001</v>
      </c>
      <c r="L25" s="58">
        <f t="shared" si="4"/>
        <v>2452.8879999999999</v>
      </c>
      <c r="M25" s="58">
        <f t="shared" si="5"/>
        <v>675.48400000000038</v>
      </c>
      <c r="N25" s="65">
        <f>H25*ι_Μοντέλο_Ελέγχου_α!$B$7</f>
        <v>3651.2</v>
      </c>
      <c r="O25" s="65">
        <f>F25/2.5*ι_Μοντέλο_Ελέγχου_α!$B$18*(1-D25)</f>
        <v>959.99999999999977</v>
      </c>
      <c r="P25" s="65">
        <f t="shared" si="6"/>
        <v>4611.2</v>
      </c>
      <c r="Q25" s="65">
        <f>K25*ι_Μοντέλο_Ελέγχου_α!$B$8</f>
        <v>1009.4224</v>
      </c>
      <c r="R25" s="65">
        <f>M25*ι_Μοντέλο_Ελέγχου_α!$B$9</f>
        <v>40.529040000000023</v>
      </c>
      <c r="S25" s="65">
        <f t="shared" si="7"/>
        <v>1049.95144</v>
      </c>
      <c r="T25" s="10">
        <f t="shared" si="8"/>
        <v>4.3918221589371784</v>
      </c>
      <c r="U25" s="58">
        <f>IFERROR(-LN(1-P25*ι_Μοντέλο_Ελέγχου_α!$B$10/S25)/LN(1+ι_Μοντέλο_Ελέγχου_α!$B$10),NA())</f>
        <v>4.6426145880648333</v>
      </c>
      <c r="V25" s="9"/>
    </row>
    <row r="26" spans="1:22" x14ac:dyDescent="0.25">
      <c r="A26" s="9">
        <v>15</v>
      </c>
      <c r="B26" s="64">
        <f t="shared" si="1"/>
        <v>0</v>
      </c>
      <c r="C26" s="64">
        <f t="shared" si="2"/>
        <v>1</v>
      </c>
      <c r="D26" s="64">
        <f t="shared" si="3"/>
        <v>0.8</v>
      </c>
      <c r="E26" s="9" t="s">
        <v>190</v>
      </c>
      <c r="F26" s="10">
        <f>ι_Μοντέλο_Ελέγχου_α!B44</f>
        <v>0</v>
      </c>
      <c r="G26" s="10">
        <f>ι_Μοντέλο_Ελέγχου_α!C44</f>
        <v>0</v>
      </c>
      <c r="H26" s="10">
        <f>ια_Υπολογισμοί_Σεναρίων!$E$232</f>
        <v>5.94</v>
      </c>
      <c r="I26" s="58">
        <f>SUM('Απόδοση Εγκατάστασης'!$D$8:$D$19)*C26</f>
        <v>7500</v>
      </c>
      <c r="J26" s="58">
        <f>H26*ι_Μοντέλο_Ελέγχου_α!$B$14</f>
        <v>8583.8940000000021</v>
      </c>
      <c r="K26" s="58">
        <f>AnnualSelfConsumptionWithBattery(H26,ι_Μοντέλο_Ελέγχου_α!$B$22:$B$33,'Απόδοση Εγκατάστασης'!$D$8:$D$19,ι_Μοντέλο_Ελέγχου_α!$D$22:$D$33,G26,C26)</f>
        <v>4240</v>
      </c>
      <c r="L26" s="58">
        <f t="shared" si="4"/>
        <v>3260</v>
      </c>
      <c r="M26" s="58">
        <f t="shared" si="5"/>
        <v>4343.8940000000021</v>
      </c>
      <c r="N26" s="65">
        <f>H26*ι_Μοντέλο_Ελέγχου_α!$B$7</f>
        <v>5476.8</v>
      </c>
      <c r="O26" s="65">
        <f>F26/2.5*ι_Μοντέλο_Ελέγχου_α!$B$18*(1-D26)</f>
        <v>0</v>
      </c>
      <c r="P26" s="65">
        <f t="shared" si="6"/>
        <v>5476.8</v>
      </c>
      <c r="Q26" s="65">
        <f>K26*ι_Μοντέλο_Ελέγχου_α!$B$8</f>
        <v>848</v>
      </c>
      <c r="R26" s="65">
        <f>M26*ι_Μοντέλο_Ελέγχου_α!$B$9</f>
        <v>260.63364000000013</v>
      </c>
      <c r="S26" s="65">
        <f t="shared" si="7"/>
        <v>1108.63364</v>
      </c>
      <c r="T26" s="10">
        <f t="shared" si="8"/>
        <v>4.9401351378801746</v>
      </c>
      <c r="U26" s="58">
        <f>IFERROR(-LN(1-P26*ι_Μοντέλο_Ελέγχου_α!$B$10/S26)/LN(1+ι_Μοντέλο_Ελέγχου_α!$B$10),NA())</f>
        <v>5.2533973365172866</v>
      </c>
      <c r="V26" s="9"/>
    </row>
    <row r="27" spans="1:22" x14ac:dyDescent="0.25">
      <c r="A27" s="9">
        <v>16</v>
      </c>
      <c r="B27" s="64">
        <f t="shared" si="1"/>
        <v>0.2</v>
      </c>
      <c r="C27" s="64">
        <f t="shared" si="2"/>
        <v>1.2</v>
      </c>
      <c r="D27" s="64">
        <f t="shared" si="3"/>
        <v>0</v>
      </c>
      <c r="E27" s="9" t="s">
        <v>186</v>
      </c>
      <c r="F27" s="10">
        <f>ι_Μοντέλο_Ελέγχου_α!B40</f>
        <v>2.5</v>
      </c>
      <c r="G27" s="10">
        <f>ι_Μοντέλο_Ελέγχου_α!C40</f>
        <v>75</v>
      </c>
      <c r="H27" s="10">
        <f>ια_Υπολογισμοί_Σεναρίων!$E$36</f>
        <v>3.96</v>
      </c>
      <c r="I27" s="58">
        <f>SUM('Απόδοση Εγκατάστασης'!$D$8:$D$19)*C27</f>
        <v>9000</v>
      </c>
      <c r="J27" s="58">
        <f>H27*ι_Μοντέλο_Ελέγχου_α!$B$14</f>
        <v>5722.5960000000005</v>
      </c>
      <c r="K27" s="58">
        <f>AnnualSelfConsumptionWithBattery(H27,ι_Μοντέλο_Ελέγχου_α!$B$22:$B$33,'Απόδοση Εγκατάστασης'!$D$8:$D$19,ι_Μοντέλο_Ελέγχου_α!$D$22:$D$33,G27,C27)</f>
        <v>4985.1120000000001</v>
      </c>
      <c r="L27" s="58">
        <f t="shared" si="4"/>
        <v>4014.8879999999999</v>
      </c>
      <c r="M27" s="58">
        <f t="shared" si="5"/>
        <v>737.48400000000038</v>
      </c>
      <c r="N27" s="65">
        <f>H27*ι_Μοντέλο_Ελέγχου_α!$B$7</f>
        <v>3651.2</v>
      </c>
      <c r="O27" s="65">
        <f>F27/2.5*ι_Μοντέλο_Ελέγχου_α!$B$18*(1-D27)</f>
        <v>1200</v>
      </c>
      <c r="P27" s="65">
        <f t="shared" si="6"/>
        <v>4851.2</v>
      </c>
      <c r="Q27" s="65">
        <f>K27*ι_Μοντέλο_Ελέγχου_α!$B$8</f>
        <v>997.02240000000006</v>
      </c>
      <c r="R27" s="65">
        <f>M27*ι_Μοντέλο_Ελέγχου_α!$B$9</f>
        <v>44.249040000000022</v>
      </c>
      <c r="S27" s="65">
        <f t="shared" si="7"/>
        <v>1041.27144</v>
      </c>
      <c r="T27" s="10">
        <f t="shared" si="8"/>
        <v>4.6589196761221068</v>
      </c>
      <c r="U27" s="58">
        <f>IFERROR(-LN(1-P27*ι_Μοντέλο_Ελέγχου_α!$B$10/S27)/LN(1+ι_Μοντέλο_Ελέγχου_α!$B$10),NA())</f>
        <v>4.9392200337837648</v>
      </c>
      <c r="V27" s="9"/>
    </row>
    <row r="28" spans="1:22" x14ac:dyDescent="0.25">
      <c r="A28" s="9">
        <v>17</v>
      </c>
      <c r="B28" s="64">
        <f t="shared" si="1"/>
        <v>0.2</v>
      </c>
      <c r="C28" s="64">
        <f t="shared" si="2"/>
        <v>1.2</v>
      </c>
      <c r="D28" s="64">
        <f t="shared" si="3"/>
        <v>0</v>
      </c>
      <c r="E28" s="9" t="s">
        <v>187</v>
      </c>
      <c r="F28" s="10">
        <f>ι_Μοντέλο_Ελέγχου_α!B41</f>
        <v>5</v>
      </c>
      <c r="G28" s="10">
        <f>ι_Μοντέλο_Ελέγχου_α!C41</f>
        <v>150</v>
      </c>
      <c r="H28" s="10">
        <f>ια_Υπολογισμοί_Σεναρίων!$E$85</f>
        <v>3.96</v>
      </c>
      <c r="I28" s="58">
        <f>SUM('Απόδοση Εγκατάστασης'!$D$8:$D$19)*C28</f>
        <v>9000</v>
      </c>
      <c r="J28" s="58">
        <f>H28*ι_Μοντέλο_Ελέγχου_α!$B$14</f>
        <v>5722.5960000000005</v>
      </c>
      <c r="K28" s="58">
        <f>AnnualSelfConsumptionWithBattery(H28,ι_Μοντέλο_Ελέγχου_α!$B$22:$B$33,'Απόδοση Εγκατάστασης'!$D$8:$D$19,ι_Μοντέλο_Ελέγχου_α!$D$22:$D$33,G28,C28)</f>
        <v>5416.6320000000005</v>
      </c>
      <c r="L28" s="58">
        <f t="shared" si="4"/>
        <v>3583.3679999999995</v>
      </c>
      <c r="M28" s="58">
        <f t="shared" si="5"/>
        <v>305.96399999999994</v>
      </c>
      <c r="N28" s="65">
        <f>H28*ι_Μοντέλο_Ελέγχου_α!$B$7</f>
        <v>3651.2</v>
      </c>
      <c r="O28" s="65">
        <f>F28/2.5*ι_Μοντέλο_Ελέγχου_α!$B$18*(1-D28)</f>
        <v>2400</v>
      </c>
      <c r="P28" s="65">
        <f t="shared" si="6"/>
        <v>6051.2</v>
      </c>
      <c r="Q28" s="65">
        <f>K28*ι_Μοντέλο_Ελέγχου_α!$B$8</f>
        <v>1083.3264000000001</v>
      </c>
      <c r="R28" s="65">
        <f>M28*ι_Μοντέλο_Ελέγχου_α!$B$9</f>
        <v>18.357839999999996</v>
      </c>
      <c r="S28" s="65">
        <f t="shared" si="7"/>
        <v>1101.68424</v>
      </c>
      <c r="T28" s="10">
        <f t="shared" si="8"/>
        <v>5.4926809155407357</v>
      </c>
      <c r="U28" s="58">
        <f>IFERROR(-LN(1-P28*ι_Μοντέλο_Ελέγχου_α!$B$10/S28)/LN(1+ι_Μοντέλο_Ελέγχου_α!$B$10),NA())</f>
        <v>5.8764604429363638</v>
      </c>
      <c r="V28" s="9"/>
    </row>
    <row r="29" spans="1:22" x14ac:dyDescent="0.25">
      <c r="A29" s="9">
        <v>18</v>
      </c>
      <c r="B29" s="64">
        <f t="shared" si="1"/>
        <v>0.2</v>
      </c>
      <c r="C29" s="64">
        <f t="shared" si="2"/>
        <v>1.2</v>
      </c>
      <c r="D29" s="64">
        <f t="shared" si="3"/>
        <v>0</v>
      </c>
      <c r="E29" s="9" t="s">
        <v>188</v>
      </c>
      <c r="F29" s="10">
        <f>ι_Μοντέλο_Ελέγχου_α!B42</f>
        <v>7.5</v>
      </c>
      <c r="G29" s="10">
        <f>ι_Μοντέλο_Ελέγχου_α!C42</f>
        <v>225</v>
      </c>
      <c r="H29" s="10">
        <f>ια_Υπολογισμοί_Σεναρίων!$E$134</f>
        <v>3.96</v>
      </c>
      <c r="I29" s="58">
        <f>SUM('Απόδοση Εγκατάστασης'!$D$8:$D$19)*C29</f>
        <v>9000</v>
      </c>
      <c r="J29" s="58">
        <f>H29*ι_Μοντέλο_Ελέγχου_α!$B$14</f>
        <v>5722.5960000000005</v>
      </c>
      <c r="K29" s="58">
        <f>AnnualSelfConsumptionWithBattery(H29,ι_Μοντέλο_Ελέγχου_α!$B$22:$B$33,'Απόδοση Εγκατάστασης'!$D$8:$D$19,ι_Μοντέλο_Ελέγχου_α!$D$22:$D$33,G29,C29)</f>
        <v>5495.64</v>
      </c>
      <c r="L29" s="58">
        <f t="shared" si="4"/>
        <v>3504.3599999999997</v>
      </c>
      <c r="M29" s="58">
        <f t="shared" si="5"/>
        <v>226.95600000000013</v>
      </c>
      <c r="N29" s="65">
        <f>H29*ι_Μοντέλο_Ελέγχου_α!$B$7</f>
        <v>3651.2</v>
      </c>
      <c r="O29" s="65">
        <f>F29/2.5*ι_Μοντέλο_Ελέγχου_α!$B$18*(1-D29)</f>
        <v>3600</v>
      </c>
      <c r="P29" s="65">
        <f t="shared" si="6"/>
        <v>7251.2</v>
      </c>
      <c r="Q29" s="65">
        <f>K29*ι_Μοντέλο_Ελέγχου_α!$B$8</f>
        <v>1099.1280000000002</v>
      </c>
      <c r="R29" s="65">
        <f>M29*ι_Μοντέλο_Ελέγχου_α!$B$9</f>
        <v>13.617360000000007</v>
      </c>
      <c r="S29" s="65">
        <f t="shared" si="7"/>
        <v>1112.7453600000001</v>
      </c>
      <c r="T29" s="10">
        <f t="shared" si="8"/>
        <v>6.5164953821959761</v>
      </c>
      <c r="U29" s="58">
        <f>IFERROR(-LN(1-P29*ι_Μοντέλο_Ελέγχου_α!$B$10/S29)/LN(1+ι_Μοντέλο_Ελέγχου_α!$B$10),NA())</f>
        <v>7.0516574063356483</v>
      </c>
      <c r="V29" s="9"/>
    </row>
    <row r="30" spans="1:22" x14ac:dyDescent="0.25">
      <c r="A30" s="9">
        <v>19</v>
      </c>
      <c r="B30" s="64">
        <f t="shared" si="1"/>
        <v>0.2</v>
      </c>
      <c r="C30" s="64">
        <f t="shared" si="2"/>
        <v>1.2</v>
      </c>
      <c r="D30" s="64">
        <f t="shared" si="3"/>
        <v>0</v>
      </c>
      <c r="E30" s="9" t="s">
        <v>189</v>
      </c>
      <c r="F30" s="10">
        <f>ι_Μοντέλο_Ελέγχου_α!B43</f>
        <v>10</v>
      </c>
      <c r="G30" s="10">
        <f>ι_Μοντέλο_Ελέγχου_α!C43</f>
        <v>300</v>
      </c>
      <c r="H30" s="10">
        <f>ια_Υπολογισμοί_Σεναρίων!$E$183</f>
        <v>3.96</v>
      </c>
      <c r="I30" s="58">
        <f>SUM('Απόδοση Εγκατάστασης'!$D$8:$D$19)*C30</f>
        <v>9000</v>
      </c>
      <c r="J30" s="58">
        <f>H30*ι_Μοντέλο_Ελέγχου_α!$B$14</f>
        <v>5722.5960000000005</v>
      </c>
      <c r="K30" s="58">
        <f>AnnualSelfConsumptionWithBattery(H30,ι_Μοντέλο_Ελέγχου_α!$B$22:$B$33,'Απόδοση Εγκατάστασης'!$D$8:$D$19,ι_Μοντέλο_Ελέγχου_α!$D$22:$D$33,G30,C30)</f>
        <v>5495.64</v>
      </c>
      <c r="L30" s="58">
        <f t="shared" si="4"/>
        <v>3504.3599999999997</v>
      </c>
      <c r="M30" s="58">
        <f t="shared" si="5"/>
        <v>226.95600000000013</v>
      </c>
      <c r="N30" s="65">
        <f>H30*ι_Μοντέλο_Ελέγχου_α!$B$7</f>
        <v>3651.2</v>
      </c>
      <c r="O30" s="65">
        <f>F30/2.5*ι_Μοντέλο_Ελέγχου_α!$B$18*(1-D30)</f>
        <v>4800</v>
      </c>
      <c r="P30" s="65">
        <f t="shared" si="6"/>
        <v>8451.2000000000007</v>
      </c>
      <c r="Q30" s="65">
        <f>K30*ι_Μοντέλο_Ελέγχου_α!$B$8</f>
        <v>1099.1280000000002</v>
      </c>
      <c r="R30" s="65">
        <f>M30*ι_Μοντέλο_Ελέγχου_α!$B$9</f>
        <v>13.617360000000007</v>
      </c>
      <c r="S30" s="65">
        <f t="shared" si="7"/>
        <v>1112.7453600000001</v>
      </c>
      <c r="T30" s="10">
        <f t="shared" si="8"/>
        <v>7.5949092252337049</v>
      </c>
      <c r="U30" s="58">
        <f>IFERROR(-LN(1-P30*ι_Μοντέλο_Ελέγχου_α!$B$10/S30)/LN(1+ι_Μοντέλο_Ελέγχου_α!$B$10),NA())</f>
        <v>8.3198346608631599</v>
      </c>
      <c r="V30" s="9"/>
    </row>
    <row r="31" spans="1:22" x14ac:dyDescent="0.25">
      <c r="A31" s="9">
        <v>20</v>
      </c>
      <c r="B31" s="64">
        <f t="shared" si="1"/>
        <v>0.2</v>
      </c>
      <c r="C31" s="64">
        <f t="shared" si="2"/>
        <v>1.2</v>
      </c>
      <c r="D31" s="64">
        <f t="shared" si="3"/>
        <v>0</v>
      </c>
      <c r="E31" s="9" t="s">
        <v>190</v>
      </c>
      <c r="F31" s="10">
        <f>ι_Μοντέλο_Ελέγχου_α!B44</f>
        <v>0</v>
      </c>
      <c r="G31" s="10">
        <f>ι_Μοντέλο_Ελέγχου_α!C44</f>
        <v>0</v>
      </c>
      <c r="H31" s="10">
        <f>ια_Υπολογισμοί_Σεναρίων!$E$232</f>
        <v>5.94</v>
      </c>
      <c r="I31" s="58">
        <f>SUM('Απόδοση Εγκατάστασης'!$D$8:$D$19)*C31</f>
        <v>9000</v>
      </c>
      <c r="J31" s="58">
        <f>H31*ι_Μοντέλο_Ελέγχου_α!$B$14</f>
        <v>8583.8940000000021</v>
      </c>
      <c r="K31" s="58">
        <f>AnnualSelfConsumptionWithBattery(H31,ι_Μοντέλο_Ελέγχου_α!$B$22:$B$33,'Απόδοση Εγκατάστασης'!$D$8:$D$19,ι_Μοντέλο_Ελέγχου_α!$D$22:$D$33,G31,C31)</f>
        <v>5067.7560000000003</v>
      </c>
      <c r="L31" s="58">
        <f t="shared" si="4"/>
        <v>3932.2439999999997</v>
      </c>
      <c r="M31" s="58">
        <f t="shared" si="5"/>
        <v>3516.1380000000017</v>
      </c>
      <c r="N31" s="65">
        <f>H31*ι_Μοντέλο_Ελέγχου_α!$B$7</f>
        <v>5476.8</v>
      </c>
      <c r="O31" s="65">
        <f>F31/2.5*ι_Μοντέλο_Ελέγχου_α!$B$18*(1-D31)</f>
        <v>0</v>
      </c>
      <c r="P31" s="65">
        <f t="shared" si="6"/>
        <v>5476.8</v>
      </c>
      <c r="Q31" s="65">
        <f>K31*ι_Μοντέλο_Ελέγχου_α!$B$8</f>
        <v>1013.5512000000001</v>
      </c>
      <c r="R31" s="65">
        <f>M31*ι_Μοντέλο_Ελέγχου_α!$B$9</f>
        <v>210.96828000000011</v>
      </c>
      <c r="S31" s="65">
        <f t="shared" si="7"/>
        <v>1224.5194800000002</v>
      </c>
      <c r="T31" s="10">
        <f t="shared" si="8"/>
        <v>4.4726115749502</v>
      </c>
      <c r="U31" s="58">
        <f>IFERROR(-LN(1-P31*ι_Μοντέλο_Ελέγχου_α!$B$10/S31)/LN(1+ι_Μοντέλο_Ελέγχου_α!$B$10),NA())</f>
        <v>4.7321456773008785</v>
      </c>
      <c r="V31" s="9"/>
    </row>
    <row r="32" spans="1:22" x14ac:dyDescent="0.25">
      <c r="A32" s="9">
        <v>21</v>
      </c>
      <c r="B32" s="64">
        <f t="shared" si="1"/>
        <v>0.2</v>
      </c>
      <c r="C32" s="64">
        <f t="shared" si="2"/>
        <v>1.2</v>
      </c>
      <c r="D32" s="64">
        <f t="shared" si="3"/>
        <v>0.5</v>
      </c>
      <c r="E32" s="9" t="s">
        <v>186</v>
      </c>
      <c r="F32" s="10">
        <f>ι_Μοντέλο_Ελέγχου_α!B40</f>
        <v>2.5</v>
      </c>
      <c r="G32" s="10">
        <f>ι_Μοντέλο_Ελέγχου_α!C40</f>
        <v>75</v>
      </c>
      <c r="H32" s="10">
        <f>ια_Υπολογισμοί_Σεναρίων!$E$36</f>
        <v>3.96</v>
      </c>
      <c r="I32" s="58">
        <f>SUM('Απόδοση Εγκατάστασης'!$D$8:$D$19)*C32</f>
        <v>9000</v>
      </c>
      <c r="J32" s="58">
        <f>H32*ι_Μοντέλο_Ελέγχου_α!$B$14</f>
        <v>5722.5960000000005</v>
      </c>
      <c r="K32" s="58">
        <f>AnnualSelfConsumptionWithBattery(H32,ι_Μοντέλο_Ελέγχου_α!$B$22:$B$33,'Απόδοση Εγκατάστασης'!$D$8:$D$19,ι_Μοντέλο_Ελέγχου_α!$D$22:$D$33,G32,C32)</f>
        <v>4985.1120000000001</v>
      </c>
      <c r="L32" s="58">
        <f t="shared" si="4"/>
        <v>4014.8879999999999</v>
      </c>
      <c r="M32" s="58">
        <f t="shared" si="5"/>
        <v>737.48400000000038</v>
      </c>
      <c r="N32" s="65">
        <f>H32*ι_Μοντέλο_Ελέγχου_α!$B$7</f>
        <v>3651.2</v>
      </c>
      <c r="O32" s="65">
        <f>F32/2.5*ι_Μοντέλο_Ελέγχου_α!$B$18*(1-D32)</f>
        <v>600</v>
      </c>
      <c r="P32" s="65">
        <f t="shared" si="6"/>
        <v>4251.2</v>
      </c>
      <c r="Q32" s="65">
        <f>K32*ι_Μοντέλο_Ελέγχου_α!$B$8</f>
        <v>997.02240000000006</v>
      </c>
      <c r="R32" s="65">
        <f>M32*ι_Μοντέλο_Ελέγχου_α!$B$9</f>
        <v>44.249040000000022</v>
      </c>
      <c r="S32" s="65">
        <f t="shared" si="7"/>
        <v>1041.27144</v>
      </c>
      <c r="T32" s="10">
        <f t="shared" si="8"/>
        <v>4.0827010486333899</v>
      </c>
      <c r="U32" s="58">
        <f>IFERROR(-LN(1-P32*ι_Μοντέλο_Ελέγχου_α!$B$10/S32)/LN(1+ι_Μοντέλο_Ελέγχου_α!$B$10),NA())</f>
        <v>4.3015037660571718</v>
      </c>
      <c r="V32" s="9"/>
    </row>
    <row r="33" spans="1:22" x14ac:dyDescent="0.25">
      <c r="A33" s="9">
        <v>22</v>
      </c>
      <c r="B33" s="64">
        <f t="shared" si="1"/>
        <v>0.2</v>
      </c>
      <c r="C33" s="64">
        <f t="shared" si="2"/>
        <v>1.2</v>
      </c>
      <c r="D33" s="64">
        <f t="shared" si="3"/>
        <v>0.5</v>
      </c>
      <c r="E33" s="9" t="s">
        <v>187</v>
      </c>
      <c r="F33" s="10">
        <f>ι_Μοντέλο_Ελέγχου_α!B41</f>
        <v>5</v>
      </c>
      <c r="G33" s="10">
        <f>ι_Μοντέλο_Ελέγχου_α!C41</f>
        <v>150</v>
      </c>
      <c r="H33" s="10">
        <f>ια_Υπολογισμοί_Σεναρίων!$E$85</f>
        <v>3.96</v>
      </c>
      <c r="I33" s="58">
        <f>SUM('Απόδοση Εγκατάστασης'!$D$8:$D$19)*C33</f>
        <v>9000</v>
      </c>
      <c r="J33" s="58">
        <f>H33*ι_Μοντέλο_Ελέγχου_α!$B$14</f>
        <v>5722.5960000000005</v>
      </c>
      <c r="K33" s="58">
        <f>AnnualSelfConsumptionWithBattery(H33,ι_Μοντέλο_Ελέγχου_α!$B$22:$B$33,'Απόδοση Εγκατάστασης'!$D$8:$D$19,ι_Μοντέλο_Ελέγχου_α!$D$22:$D$33,G33,C33)</f>
        <v>5416.6320000000005</v>
      </c>
      <c r="L33" s="58">
        <f t="shared" si="4"/>
        <v>3583.3679999999995</v>
      </c>
      <c r="M33" s="58">
        <f t="shared" si="5"/>
        <v>305.96399999999994</v>
      </c>
      <c r="N33" s="65">
        <f>H33*ι_Μοντέλο_Ελέγχου_α!$B$7</f>
        <v>3651.2</v>
      </c>
      <c r="O33" s="65">
        <f>F33/2.5*ι_Μοντέλο_Ελέγχου_α!$B$18*(1-D33)</f>
        <v>1200</v>
      </c>
      <c r="P33" s="65">
        <f t="shared" si="6"/>
        <v>4851.2</v>
      </c>
      <c r="Q33" s="65">
        <f>K33*ι_Μοντέλο_Ελέγχου_α!$B$8</f>
        <v>1083.3264000000001</v>
      </c>
      <c r="R33" s="65">
        <f>M33*ι_Μοντέλο_Ελέγχου_α!$B$9</f>
        <v>18.357839999999996</v>
      </c>
      <c r="S33" s="65">
        <f t="shared" si="7"/>
        <v>1101.68424</v>
      </c>
      <c r="T33" s="10">
        <f t="shared" si="8"/>
        <v>4.4034395917291143</v>
      </c>
      <c r="U33" s="58">
        <f>IFERROR(-LN(1-P33*ι_Μοντέλο_Ελέγχου_α!$B$10/S33)/LN(1+ι_Μοντέλο_Ελέγχου_α!$B$10),NA())</f>
        <v>4.6554792966149385</v>
      </c>
      <c r="V33" s="9"/>
    </row>
    <row r="34" spans="1:22" x14ac:dyDescent="0.25">
      <c r="A34" s="9">
        <v>23</v>
      </c>
      <c r="B34" s="64">
        <f t="shared" si="1"/>
        <v>0.2</v>
      </c>
      <c r="C34" s="64">
        <f t="shared" si="2"/>
        <v>1.2</v>
      </c>
      <c r="D34" s="64">
        <f t="shared" si="3"/>
        <v>0.5</v>
      </c>
      <c r="E34" s="9" t="s">
        <v>188</v>
      </c>
      <c r="F34" s="10">
        <f>ι_Μοντέλο_Ελέγχου_α!B42</f>
        <v>7.5</v>
      </c>
      <c r="G34" s="10">
        <f>ι_Μοντέλο_Ελέγχου_α!C42</f>
        <v>225</v>
      </c>
      <c r="H34" s="10">
        <f>ια_Υπολογισμοί_Σεναρίων!$E$134</f>
        <v>3.96</v>
      </c>
      <c r="I34" s="58">
        <f>SUM('Απόδοση Εγκατάστασης'!$D$8:$D$19)*C34</f>
        <v>9000</v>
      </c>
      <c r="J34" s="58">
        <f>H34*ι_Μοντέλο_Ελέγχου_α!$B$14</f>
        <v>5722.5960000000005</v>
      </c>
      <c r="K34" s="58">
        <f>AnnualSelfConsumptionWithBattery(H34,ι_Μοντέλο_Ελέγχου_α!$B$22:$B$33,'Απόδοση Εγκατάστασης'!$D$8:$D$19,ι_Μοντέλο_Ελέγχου_α!$D$22:$D$33,G34,C34)</f>
        <v>5495.64</v>
      </c>
      <c r="L34" s="58">
        <f t="shared" si="4"/>
        <v>3504.3599999999997</v>
      </c>
      <c r="M34" s="58">
        <f t="shared" si="5"/>
        <v>226.95600000000013</v>
      </c>
      <c r="N34" s="65">
        <f>H34*ι_Μοντέλο_Ελέγχου_α!$B$7</f>
        <v>3651.2</v>
      </c>
      <c r="O34" s="65">
        <f>F34/2.5*ι_Μοντέλο_Ελέγχου_α!$B$18*(1-D34)</f>
        <v>1800</v>
      </c>
      <c r="P34" s="65">
        <f t="shared" si="6"/>
        <v>5451.2</v>
      </c>
      <c r="Q34" s="65">
        <f>K34*ι_Μοντέλο_Ελέγχου_α!$B$8</f>
        <v>1099.1280000000002</v>
      </c>
      <c r="R34" s="65">
        <f>M34*ι_Μοντέλο_Ελέγχου_α!$B$9</f>
        <v>13.617360000000007</v>
      </c>
      <c r="S34" s="65">
        <f t="shared" si="7"/>
        <v>1112.7453600000001</v>
      </c>
      <c r="T34" s="10">
        <f t="shared" si="8"/>
        <v>4.8988746176393843</v>
      </c>
      <c r="U34" s="58">
        <f>IFERROR(-LN(1-P34*ι_Μοντέλο_Ελέγχου_α!$B$10/S34)/LN(1+ι_Μοντέλο_Ελέγχου_α!$B$10),NA())</f>
        <v>5.2071780498054565</v>
      </c>
      <c r="V34" s="9"/>
    </row>
    <row r="35" spans="1:22" x14ac:dyDescent="0.25">
      <c r="A35" s="9">
        <v>24</v>
      </c>
      <c r="B35" s="64">
        <f t="shared" si="1"/>
        <v>0.2</v>
      </c>
      <c r="C35" s="64">
        <f t="shared" si="2"/>
        <v>1.2</v>
      </c>
      <c r="D35" s="64">
        <f t="shared" si="3"/>
        <v>0.5</v>
      </c>
      <c r="E35" s="9" t="s">
        <v>189</v>
      </c>
      <c r="F35" s="10">
        <f>ι_Μοντέλο_Ελέγχου_α!B43</f>
        <v>10</v>
      </c>
      <c r="G35" s="10">
        <f>ι_Μοντέλο_Ελέγχου_α!C43</f>
        <v>300</v>
      </c>
      <c r="H35" s="10">
        <f>ια_Υπολογισμοί_Σεναρίων!$E$183</f>
        <v>3.96</v>
      </c>
      <c r="I35" s="58">
        <f>SUM('Απόδοση Εγκατάστασης'!$D$8:$D$19)*C35</f>
        <v>9000</v>
      </c>
      <c r="J35" s="58">
        <f>H35*ι_Μοντέλο_Ελέγχου_α!$B$14</f>
        <v>5722.5960000000005</v>
      </c>
      <c r="K35" s="58">
        <f>AnnualSelfConsumptionWithBattery(H35,ι_Μοντέλο_Ελέγχου_α!$B$22:$B$33,'Απόδοση Εγκατάστασης'!$D$8:$D$19,ι_Μοντέλο_Ελέγχου_α!$D$22:$D$33,G35,C35)</f>
        <v>5495.64</v>
      </c>
      <c r="L35" s="58">
        <f t="shared" si="4"/>
        <v>3504.3599999999997</v>
      </c>
      <c r="M35" s="58">
        <f t="shared" si="5"/>
        <v>226.95600000000013</v>
      </c>
      <c r="N35" s="65">
        <f>H35*ι_Μοντέλο_Ελέγχου_α!$B$7</f>
        <v>3651.2</v>
      </c>
      <c r="O35" s="65">
        <f>F35/2.5*ι_Μοντέλο_Ελέγχου_α!$B$18*(1-D35)</f>
        <v>2400</v>
      </c>
      <c r="P35" s="65">
        <f t="shared" si="6"/>
        <v>6051.2</v>
      </c>
      <c r="Q35" s="65">
        <f>K35*ι_Μοντέλο_Ελέγχου_α!$B$8</f>
        <v>1099.1280000000002</v>
      </c>
      <c r="R35" s="65">
        <f>M35*ι_Μοντέλο_Ελέγχου_α!$B$9</f>
        <v>13.617360000000007</v>
      </c>
      <c r="S35" s="65">
        <f t="shared" si="7"/>
        <v>1112.7453600000001</v>
      </c>
      <c r="T35" s="10">
        <f t="shared" si="8"/>
        <v>5.4380815391582482</v>
      </c>
      <c r="U35" s="58">
        <f>IFERROR(-LN(1-P35*ι_Μοντέλο_Ελέγχου_α!$B$10/S35)/LN(1+ι_Μοντέλο_Ελέγχου_α!$B$10),NA())</f>
        <v>5.8145495334390072</v>
      </c>
      <c r="V35" s="9"/>
    </row>
    <row r="36" spans="1:22" x14ac:dyDescent="0.25">
      <c r="A36" s="9">
        <v>25</v>
      </c>
      <c r="B36" s="64">
        <f t="shared" si="1"/>
        <v>0.2</v>
      </c>
      <c r="C36" s="64">
        <f t="shared" si="2"/>
        <v>1.2</v>
      </c>
      <c r="D36" s="64">
        <f t="shared" si="3"/>
        <v>0.5</v>
      </c>
      <c r="E36" s="9" t="s">
        <v>190</v>
      </c>
      <c r="F36" s="10">
        <f>ι_Μοντέλο_Ελέγχου_α!B44</f>
        <v>0</v>
      </c>
      <c r="G36" s="10">
        <f>ι_Μοντέλο_Ελέγχου_α!C44</f>
        <v>0</v>
      </c>
      <c r="H36" s="10">
        <f>ια_Υπολογισμοί_Σεναρίων!$E$232</f>
        <v>5.94</v>
      </c>
      <c r="I36" s="58">
        <f>SUM('Απόδοση Εγκατάστασης'!$D$8:$D$19)*C36</f>
        <v>9000</v>
      </c>
      <c r="J36" s="58">
        <f>H36*ι_Μοντέλο_Ελέγχου_α!$B$14</f>
        <v>8583.8940000000021</v>
      </c>
      <c r="K36" s="58">
        <f>AnnualSelfConsumptionWithBattery(H36,ι_Μοντέλο_Ελέγχου_α!$B$22:$B$33,'Απόδοση Εγκατάστασης'!$D$8:$D$19,ι_Μοντέλο_Ελέγχου_α!$D$22:$D$33,G36,C36)</f>
        <v>5067.7560000000003</v>
      </c>
      <c r="L36" s="58">
        <f t="shared" si="4"/>
        <v>3932.2439999999997</v>
      </c>
      <c r="M36" s="58">
        <f t="shared" si="5"/>
        <v>3516.1380000000017</v>
      </c>
      <c r="N36" s="65">
        <f>H36*ι_Μοντέλο_Ελέγχου_α!$B$7</f>
        <v>5476.8</v>
      </c>
      <c r="O36" s="65">
        <f>F36/2.5*ι_Μοντέλο_Ελέγχου_α!$B$18*(1-D36)</f>
        <v>0</v>
      </c>
      <c r="P36" s="65">
        <f t="shared" si="6"/>
        <v>5476.8</v>
      </c>
      <c r="Q36" s="65">
        <f>K36*ι_Μοντέλο_Ελέγχου_α!$B$8</f>
        <v>1013.5512000000001</v>
      </c>
      <c r="R36" s="65">
        <f>M36*ι_Μοντέλο_Ελέγχου_α!$B$9</f>
        <v>210.96828000000011</v>
      </c>
      <c r="S36" s="65">
        <f t="shared" si="7"/>
        <v>1224.5194800000002</v>
      </c>
      <c r="T36" s="10">
        <f t="shared" si="8"/>
        <v>4.4726115749502</v>
      </c>
      <c r="U36" s="58">
        <f>IFERROR(-LN(1-P36*ι_Μοντέλο_Ελέγχου_α!$B$10/S36)/LN(1+ι_Μοντέλο_Ελέγχου_α!$B$10),NA())</f>
        <v>4.7321456773008785</v>
      </c>
      <c r="V36" s="9"/>
    </row>
    <row r="37" spans="1:22" x14ac:dyDescent="0.25">
      <c r="A37" s="9">
        <v>26</v>
      </c>
      <c r="B37" s="64">
        <f t="shared" si="1"/>
        <v>0.2</v>
      </c>
      <c r="C37" s="64">
        <f t="shared" si="2"/>
        <v>1.2</v>
      </c>
      <c r="D37" s="64">
        <f t="shared" si="3"/>
        <v>0.8</v>
      </c>
      <c r="E37" s="9" t="s">
        <v>186</v>
      </c>
      <c r="F37" s="10">
        <f>ι_Μοντέλο_Ελέγχου_α!B40</f>
        <v>2.5</v>
      </c>
      <c r="G37" s="10">
        <f>ι_Μοντέλο_Ελέγχου_α!C40</f>
        <v>75</v>
      </c>
      <c r="H37" s="10">
        <f>ια_Υπολογισμοί_Σεναρίων!$E$36</f>
        <v>3.96</v>
      </c>
      <c r="I37" s="58">
        <f>SUM('Απόδοση Εγκατάστασης'!$D$8:$D$19)*C37</f>
        <v>9000</v>
      </c>
      <c r="J37" s="58">
        <f>H37*ι_Μοντέλο_Ελέγχου_α!$B$14</f>
        <v>5722.5960000000005</v>
      </c>
      <c r="K37" s="58">
        <f>AnnualSelfConsumptionWithBattery(H37,ι_Μοντέλο_Ελέγχου_α!$B$22:$B$33,'Απόδοση Εγκατάστασης'!$D$8:$D$19,ι_Μοντέλο_Ελέγχου_α!$D$22:$D$33,G37,C37)</f>
        <v>4985.1120000000001</v>
      </c>
      <c r="L37" s="58">
        <f t="shared" si="4"/>
        <v>4014.8879999999999</v>
      </c>
      <c r="M37" s="58">
        <f t="shared" si="5"/>
        <v>737.48400000000038</v>
      </c>
      <c r="N37" s="65">
        <f>H37*ι_Μοντέλο_Ελέγχου_α!$B$7</f>
        <v>3651.2</v>
      </c>
      <c r="O37" s="65">
        <f>F37/2.5*ι_Μοντέλο_Ελέγχου_α!$B$18*(1-D37)</f>
        <v>239.99999999999994</v>
      </c>
      <c r="P37" s="65">
        <f t="shared" si="6"/>
        <v>3891.2</v>
      </c>
      <c r="Q37" s="65">
        <f>K37*ι_Μοντέλο_Ελέγχου_α!$B$8</f>
        <v>997.02240000000006</v>
      </c>
      <c r="R37" s="65">
        <f>M37*ι_Μοντέλο_Ελέγχου_α!$B$9</f>
        <v>44.249040000000022</v>
      </c>
      <c r="S37" s="65">
        <f t="shared" si="7"/>
        <v>1041.27144</v>
      </c>
      <c r="T37" s="10">
        <f t="shared" si="8"/>
        <v>3.7369698721401594</v>
      </c>
      <c r="U37" s="58">
        <f>IFERROR(-LN(1-P37*ι_Μοντέλο_Ελέγχου_α!$B$10/S37)/LN(1+ι_Μοντέλο_Ελέγχου_α!$B$10),NA())</f>
        <v>3.9227041691370719</v>
      </c>
      <c r="V37" s="9"/>
    </row>
    <row r="38" spans="1:22" x14ac:dyDescent="0.25">
      <c r="A38" s="9">
        <v>27</v>
      </c>
      <c r="B38" s="64">
        <f t="shared" si="1"/>
        <v>0.2</v>
      </c>
      <c r="C38" s="64">
        <f t="shared" si="2"/>
        <v>1.2</v>
      </c>
      <c r="D38" s="64">
        <f t="shared" si="3"/>
        <v>0.8</v>
      </c>
      <c r="E38" s="9" t="s">
        <v>187</v>
      </c>
      <c r="F38" s="10">
        <f>ι_Μοντέλο_Ελέγχου_α!B41</f>
        <v>5</v>
      </c>
      <c r="G38" s="10">
        <f>ι_Μοντέλο_Ελέγχου_α!C41</f>
        <v>150</v>
      </c>
      <c r="H38" s="10">
        <f>ια_Υπολογισμοί_Σεναρίων!$E$85</f>
        <v>3.96</v>
      </c>
      <c r="I38" s="58">
        <f>SUM('Απόδοση Εγκατάστασης'!$D$8:$D$19)*C38</f>
        <v>9000</v>
      </c>
      <c r="J38" s="58">
        <f>H38*ι_Μοντέλο_Ελέγχου_α!$B$14</f>
        <v>5722.5960000000005</v>
      </c>
      <c r="K38" s="58">
        <f>AnnualSelfConsumptionWithBattery(H38,ι_Μοντέλο_Ελέγχου_α!$B$22:$B$33,'Απόδοση Εγκατάστασης'!$D$8:$D$19,ι_Μοντέλο_Ελέγχου_α!$D$22:$D$33,G38,C38)</f>
        <v>5416.6320000000005</v>
      </c>
      <c r="L38" s="58">
        <f t="shared" si="4"/>
        <v>3583.3679999999995</v>
      </c>
      <c r="M38" s="58">
        <f t="shared" si="5"/>
        <v>305.96399999999994</v>
      </c>
      <c r="N38" s="65">
        <f>H38*ι_Μοντέλο_Ελέγχου_α!$B$7</f>
        <v>3651.2</v>
      </c>
      <c r="O38" s="65">
        <f>F38/2.5*ι_Μοντέλο_Ελέγχου_α!$B$18*(1-D38)</f>
        <v>479.99999999999989</v>
      </c>
      <c r="P38" s="65">
        <f t="shared" si="6"/>
        <v>4131.2</v>
      </c>
      <c r="Q38" s="65">
        <f>K38*ι_Μοντέλο_Ελέγχου_α!$B$8</f>
        <v>1083.3264000000001</v>
      </c>
      <c r="R38" s="65">
        <f>M38*ι_Μοντέλο_Ελέγχου_α!$B$9</f>
        <v>18.357839999999996</v>
      </c>
      <c r="S38" s="65">
        <f t="shared" si="7"/>
        <v>1101.68424</v>
      </c>
      <c r="T38" s="10">
        <f t="shared" si="8"/>
        <v>3.7498947974421415</v>
      </c>
      <c r="U38" s="58">
        <f>IFERROR(-LN(1-P38*ι_Μοντέλο_Ελέγχου_α!$B$10/S38)/LN(1+ι_Μοντέλο_Ελέγχου_α!$B$10),NA())</f>
        <v>3.9368143255132093</v>
      </c>
      <c r="V38" s="9"/>
    </row>
    <row r="39" spans="1:22" x14ac:dyDescent="0.25">
      <c r="A39" s="9">
        <v>28</v>
      </c>
      <c r="B39" s="64">
        <f t="shared" si="1"/>
        <v>0.2</v>
      </c>
      <c r="C39" s="64">
        <f t="shared" si="2"/>
        <v>1.2</v>
      </c>
      <c r="D39" s="64">
        <f t="shared" si="3"/>
        <v>0.8</v>
      </c>
      <c r="E39" s="9" t="s">
        <v>188</v>
      </c>
      <c r="F39" s="10">
        <f>ι_Μοντέλο_Ελέγχου_α!B42</f>
        <v>7.5</v>
      </c>
      <c r="G39" s="10">
        <f>ι_Μοντέλο_Ελέγχου_α!C42</f>
        <v>225</v>
      </c>
      <c r="H39" s="10">
        <f>ια_Υπολογισμοί_Σεναρίων!$E$134</f>
        <v>3.96</v>
      </c>
      <c r="I39" s="58">
        <f>SUM('Απόδοση Εγκατάστασης'!$D$8:$D$19)*C39</f>
        <v>9000</v>
      </c>
      <c r="J39" s="58">
        <f>H39*ι_Μοντέλο_Ελέγχου_α!$B$14</f>
        <v>5722.5960000000005</v>
      </c>
      <c r="K39" s="58">
        <f>AnnualSelfConsumptionWithBattery(H39,ι_Μοντέλο_Ελέγχου_α!$B$22:$B$33,'Απόδοση Εγκατάστασης'!$D$8:$D$19,ι_Μοντέλο_Ελέγχου_α!$D$22:$D$33,G39,C39)</f>
        <v>5495.64</v>
      </c>
      <c r="L39" s="58">
        <f t="shared" si="4"/>
        <v>3504.3599999999997</v>
      </c>
      <c r="M39" s="58">
        <f t="shared" si="5"/>
        <v>226.95600000000013</v>
      </c>
      <c r="N39" s="65">
        <f>H39*ι_Μοντέλο_Ελέγχου_α!$B$7</f>
        <v>3651.2</v>
      </c>
      <c r="O39" s="65">
        <f>F39/2.5*ι_Μοντέλο_Ελέγχου_α!$B$18*(1-D39)</f>
        <v>719.99999999999989</v>
      </c>
      <c r="P39" s="65">
        <f t="shared" si="6"/>
        <v>4371.2</v>
      </c>
      <c r="Q39" s="65">
        <f>K39*ι_Μοντέλο_Ελέγχου_α!$B$8</f>
        <v>1099.1280000000002</v>
      </c>
      <c r="R39" s="65">
        <f>M39*ι_Μοντέλο_Ελέγχου_α!$B$9</f>
        <v>13.617360000000007</v>
      </c>
      <c r="S39" s="65">
        <f t="shared" si="7"/>
        <v>1112.7453600000001</v>
      </c>
      <c r="T39" s="10">
        <f t="shared" si="8"/>
        <v>3.9283021589054297</v>
      </c>
      <c r="U39" s="58">
        <f>IFERROR(-LN(1-P39*ι_Μοντέλο_Ελέγχου_α!$B$10/S39)/LN(1+ι_Μοντέλο_Ελέγχου_α!$B$10),NA())</f>
        <v>4.1319857424974984</v>
      </c>
      <c r="V39" s="9"/>
    </row>
    <row r="40" spans="1:22" x14ac:dyDescent="0.25">
      <c r="A40" s="9">
        <v>29</v>
      </c>
      <c r="B40" s="64">
        <f t="shared" si="1"/>
        <v>0.2</v>
      </c>
      <c r="C40" s="64">
        <f t="shared" si="2"/>
        <v>1.2</v>
      </c>
      <c r="D40" s="64">
        <f t="shared" si="3"/>
        <v>0.8</v>
      </c>
      <c r="E40" s="9" t="s">
        <v>189</v>
      </c>
      <c r="F40" s="10">
        <f>ι_Μοντέλο_Ελέγχου_α!B43</f>
        <v>10</v>
      </c>
      <c r="G40" s="10">
        <f>ι_Μοντέλο_Ελέγχου_α!C43</f>
        <v>300</v>
      </c>
      <c r="H40" s="10">
        <f>ια_Υπολογισμοί_Σεναρίων!$E$183</f>
        <v>3.96</v>
      </c>
      <c r="I40" s="58">
        <f>SUM('Απόδοση Εγκατάστασης'!$D$8:$D$19)*C40</f>
        <v>9000</v>
      </c>
      <c r="J40" s="58">
        <f>H40*ι_Μοντέλο_Ελέγχου_α!$B$14</f>
        <v>5722.5960000000005</v>
      </c>
      <c r="K40" s="58">
        <f>AnnualSelfConsumptionWithBattery(H40,ι_Μοντέλο_Ελέγχου_α!$B$22:$B$33,'Απόδοση Εγκατάστασης'!$D$8:$D$19,ι_Μοντέλο_Ελέγχου_α!$D$22:$D$33,G40,C40)</f>
        <v>5495.64</v>
      </c>
      <c r="L40" s="58">
        <f t="shared" si="4"/>
        <v>3504.3599999999997</v>
      </c>
      <c r="M40" s="58">
        <f t="shared" si="5"/>
        <v>226.95600000000013</v>
      </c>
      <c r="N40" s="65">
        <f>H40*ι_Μοντέλο_Ελέγχου_α!$B$7</f>
        <v>3651.2</v>
      </c>
      <c r="O40" s="65">
        <f>F40/2.5*ι_Μοντέλο_Ελέγχου_α!$B$18*(1-D40)</f>
        <v>959.99999999999977</v>
      </c>
      <c r="P40" s="65">
        <f t="shared" si="6"/>
        <v>4611.2</v>
      </c>
      <c r="Q40" s="65">
        <f>K40*ι_Μοντέλο_Ελέγχου_α!$B$8</f>
        <v>1099.1280000000002</v>
      </c>
      <c r="R40" s="65">
        <f>M40*ι_Μοντέλο_Ελέγχου_α!$B$9</f>
        <v>13.617360000000007</v>
      </c>
      <c r="S40" s="65">
        <f t="shared" si="7"/>
        <v>1112.7453600000001</v>
      </c>
      <c r="T40" s="10">
        <f t="shared" si="8"/>
        <v>4.1439849275129754</v>
      </c>
      <c r="U40" s="58">
        <f>IFERROR(-LN(1-P40*ι_Μοντέλο_Ελέγχου_α!$B$10/S40)/LN(1+ι_Μοντέλο_Ελέγχου_α!$B$10),NA())</f>
        <v>4.368946796641473</v>
      </c>
      <c r="V40" s="9"/>
    </row>
    <row r="41" spans="1:22" x14ac:dyDescent="0.25">
      <c r="A41" s="9">
        <v>30</v>
      </c>
      <c r="B41" s="64">
        <f t="shared" si="1"/>
        <v>0.2</v>
      </c>
      <c r="C41" s="64">
        <f t="shared" si="2"/>
        <v>1.2</v>
      </c>
      <c r="D41" s="64">
        <f t="shared" si="3"/>
        <v>0.8</v>
      </c>
      <c r="E41" s="9" t="s">
        <v>190</v>
      </c>
      <c r="F41" s="10">
        <f>ι_Μοντέλο_Ελέγχου_α!B44</f>
        <v>0</v>
      </c>
      <c r="G41" s="10">
        <f>ι_Μοντέλο_Ελέγχου_α!C44</f>
        <v>0</v>
      </c>
      <c r="H41" s="10">
        <f>ια_Υπολογισμοί_Σεναρίων!$E$232</f>
        <v>5.94</v>
      </c>
      <c r="I41" s="58">
        <f>SUM('Απόδοση Εγκατάστασης'!$D$8:$D$19)*C41</f>
        <v>9000</v>
      </c>
      <c r="J41" s="58">
        <f>H41*ι_Μοντέλο_Ελέγχου_α!$B$14</f>
        <v>8583.8940000000021</v>
      </c>
      <c r="K41" s="58">
        <f>AnnualSelfConsumptionWithBattery(H41,ι_Μοντέλο_Ελέγχου_α!$B$22:$B$33,'Απόδοση Εγκατάστασης'!$D$8:$D$19,ι_Μοντέλο_Ελέγχου_α!$D$22:$D$33,G41,C41)</f>
        <v>5067.7560000000003</v>
      </c>
      <c r="L41" s="58">
        <f t="shared" si="4"/>
        <v>3932.2439999999997</v>
      </c>
      <c r="M41" s="58">
        <f t="shared" si="5"/>
        <v>3516.1380000000017</v>
      </c>
      <c r="N41" s="65">
        <f>H41*ι_Μοντέλο_Ελέγχου_α!$B$7</f>
        <v>5476.8</v>
      </c>
      <c r="O41" s="65">
        <f>F41/2.5*ι_Μοντέλο_Ελέγχου_α!$B$18*(1-D41)</f>
        <v>0</v>
      </c>
      <c r="P41" s="65">
        <f t="shared" si="6"/>
        <v>5476.8</v>
      </c>
      <c r="Q41" s="65">
        <f>K41*ι_Μοντέλο_Ελέγχου_α!$B$8</f>
        <v>1013.5512000000001</v>
      </c>
      <c r="R41" s="65">
        <f>M41*ι_Μοντέλο_Ελέγχου_α!$B$9</f>
        <v>210.96828000000011</v>
      </c>
      <c r="S41" s="65">
        <f t="shared" si="7"/>
        <v>1224.5194800000002</v>
      </c>
      <c r="T41" s="10">
        <f t="shared" si="8"/>
        <v>4.4726115749502</v>
      </c>
      <c r="U41" s="58">
        <f>IFERROR(-LN(1-P41*ι_Μοντέλο_Ελέγχου_α!$B$10/S41)/LN(1+ι_Μοντέλο_Ελέγχου_α!$B$10),NA())</f>
        <v>4.7321456773008785</v>
      </c>
      <c r="V41" s="9"/>
    </row>
    <row r="42" spans="1:22" x14ac:dyDescent="0.25">
      <c r="A42" s="9">
        <v>31</v>
      </c>
      <c r="B42" s="64">
        <f t="shared" si="1"/>
        <v>0.4</v>
      </c>
      <c r="C42" s="64">
        <f t="shared" si="2"/>
        <v>1.4</v>
      </c>
      <c r="D42" s="64">
        <f t="shared" si="3"/>
        <v>0</v>
      </c>
      <c r="E42" s="9" t="s">
        <v>186</v>
      </c>
      <c r="F42" s="10">
        <f>ι_Μοντέλο_Ελέγχου_α!B40</f>
        <v>2.5</v>
      </c>
      <c r="G42" s="10">
        <f>ι_Μοντέλο_Ελέγχου_α!C40</f>
        <v>75</v>
      </c>
      <c r="H42" s="10">
        <f>ια_Υπολογισμοί_Σεναρίων!$E$36</f>
        <v>3.96</v>
      </c>
      <c r="I42" s="58">
        <f>SUM('Απόδοση Εγκατάστασης'!$D$8:$D$19)*C42</f>
        <v>10500</v>
      </c>
      <c r="J42" s="58">
        <f>H42*ι_Μοντέλο_Ελέγχου_α!$B$14</f>
        <v>5722.5960000000005</v>
      </c>
      <c r="K42" s="58">
        <f>AnnualSelfConsumptionWithBattery(H42,ι_Μοντέλο_Ελέγχου_α!$B$22:$B$33,'Απόδοση Εγκατάστασης'!$D$8:$D$19,ι_Μοντέλο_Ελέγχου_α!$D$22:$D$33,G42,C42)</f>
        <v>5361.6320000000005</v>
      </c>
      <c r="L42" s="58">
        <f t="shared" si="4"/>
        <v>5138.3679999999995</v>
      </c>
      <c r="M42" s="58">
        <f t="shared" si="5"/>
        <v>360.96399999999994</v>
      </c>
      <c r="N42" s="65">
        <f>H42*ι_Μοντέλο_Ελέγχου_α!$B$7</f>
        <v>3651.2</v>
      </c>
      <c r="O42" s="65">
        <f>F42/2.5*ι_Μοντέλο_Ελέγχου_α!$B$18*(1-D42)</f>
        <v>1200</v>
      </c>
      <c r="P42" s="65">
        <f t="shared" si="6"/>
        <v>4851.2</v>
      </c>
      <c r="Q42" s="65">
        <f>K42*ι_Μοντέλο_Ελέγχου_α!$B$8</f>
        <v>1072.3264000000001</v>
      </c>
      <c r="R42" s="65">
        <f>M42*ι_Μοντέλο_Ελέγχου_α!$B$9</f>
        <v>21.657839999999997</v>
      </c>
      <c r="S42" s="65">
        <f t="shared" si="7"/>
        <v>1093.9842400000002</v>
      </c>
      <c r="T42" s="10">
        <f t="shared" si="8"/>
        <v>4.4344331687995791</v>
      </c>
      <c r="U42" s="58">
        <f>IFERROR(-LN(1-P42*ι_Μοντέλο_Ελέγχου_α!$B$10/S42)/LN(1+ι_Μοντέλο_Ελέγχου_α!$B$10),NA())</f>
        <v>4.6898164628023151</v>
      </c>
      <c r="V42" s="9"/>
    </row>
    <row r="43" spans="1:22" x14ac:dyDescent="0.25">
      <c r="A43" s="9">
        <v>32</v>
      </c>
      <c r="B43" s="64">
        <f t="shared" si="1"/>
        <v>0.4</v>
      </c>
      <c r="C43" s="64">
        <f t="shared" si="2"/>
        <v>1.4</v>
      </c>
      <c r="D43" s="64">
        <f t="shared" si="3"/>
        <v>0</v>
      </c>
      <c r="E43" s="9" t="s">
        <v>187</v>
      </c>
      <c r="F43" s="10">
        <f>ι_Μοντέλο_Ελέγχου_α!B41</f>
        <v>5</v>
      </c>
      <c r="G43" s="10">
        <f>ι_Μοντέλο_Ελέγχου_α!C41</f>
        <v>150</v>
      </c>
      <c r="H43" s="10">
        <f>ια_Υπολογισμοί_Σεναρίων!$E$85</f>
        <v>3.96</v>
      </c>
      <c r="I43" s="58">
        <f>SUM('Απόδοση Εγκατάστασης'!$D$8:$D$19)*C43</f>
        <v>10500</v>
      </c>
      <c r="J43" s="58">
        <f>H43*ι_Μοντέλο_Ελέγχου_α!$B$14</f>
        <v>5722.5960000000005</v>
      </c>
      <c r="K43" s="58">
        <f>AnnualSelfConsumptionWithBattery(H43,ι_Μοντέλο_Ελέγχου_α!$B$22:$B$33,'Απόδοση Εγκατάστασης'!$D$8:$D$19,ι_Μοντέλο_Ελέγχου_α!$D$22:$D$33,G43,C43)</f>
        <v>5614.64</v>
      </c>
      <c r="L43" s="58">
        <f t="shared" si="4"/>
        <v>4885.3599999999997</v>
      </c>
      <c r="M43" s="58">
        <f t="shared" si="5"/>
        <v>107.95600000000013</v>
      </c>
      <c r="N43" s="65">
        <f>H43*ι_Μοντέλο_Ελέγχου_α!$B$7</f>
        <v>3651.2</v>
      </c>
      <c r="O43" s="65">
        <f>F43/2.5*ι_Μοντέλο_Ελέγχου_α!$B$18*(1-D43)</f>
        <v>2400</v>
      </c>
      <c r="P43" s="65">
        <f t="shared" si="6"/>
        <v>6051.2</v>
      </c>
      <c r="Q43" s="65">
        <f>K43*ι_Μοντέλο_Ελέγχου_α!$B$8</f>
        <v>1122.9280000000001</v>
      </c>
      <c r="R43" s="65">
        <f>M43*ι_Μοντέλο_Ελέγχου_α!$B$9</f>
        <v>6.477360000000008</v>
      </c>
      <c r="S43" s="65">
        <f t="shared" si="7"/>
        <v>1129.4053600000002</v>
      </c>
      <c r="T43" s="10">
        <f t="shared" si="8"/>
        <v>5.3578637168854932</v>
      </c>
      <c r="U43" s="58">
        <f>IFERROR(-LN(1-P43*ι_Μοντέλο_Ελέγχου_α!$B$10/S43)/LN(1+ι_Μοντέλο_Ελέγχου_α!$B$10),NA())</f>
        <v>5.7237270085607657</v>
      </c>
      <c r="V43" s="9"/>
    </row>
    <row r="44" spans="1:22" x14ac:dyDescent="0.25">
      <c r="A44" s="9">
        <v>33</v>
      </c>
      <c r="B44" s="64">
        <f t="shared" ref="B44:B75" si="9">INDEX($A$5:$A$9,INT((ROW()-12)/15)+1)</f>
        <v>0.4</v>
      </c>
      <c r="C44" s="64">
        <f t="shared" ref="C44:C75" si="10">INDEX($B$5:$B$9,INT((ROW()-12)/15)+1)</f>
        <v>1.4</v>
      </c>
      <c r="D44" s="64">
        <f t="shared" ref="D44:D75" si="11">INDEX($D$5:$D$7,INT(MOD(ROW()-12,15)/5)+1)</f>
        <v>0</v>
      </c>
      <c r="E44" s="9" t="s">
        <v>188</v>
      </c>
      <c r="F44" s="10">
        <f>ι_Μοντέλο_Ελέγχου_α!B42</f>
        <v>7.5</v>
      </c>
      <c r="G44" s="10">
        <f>ι_Μοντέλο_Ελέγχου_α!C42</f>
        <v>225</v>
      </c>
      <c r="H44" s="10">
        <f>ια_Υπολογισμοί_Σεναρίων!$E$134</f>
        <v>3.96</v>
      </c>
      <c r="I44" s="58">
        <f>SUM('Απόδοση Εγκατάστασης'!$D$8:$D$19)*C44</f>
        <v>10500</v>
      </c>
      <c r="J44" s="58">
        <f>H44*ι_Μοντέλο_Ελέγχου_α!$B$14</f>
        <v>5722.5960000000005</v>
      </c>
      <c r="K44" s="58">
        <f>AnnualSelfConsumptionWithBattery(H44,ι_Μοντέλο_Ελέγχου_α!$B$22:$B$33,'Απόδοση Εγκατάστασης'!$D$8:$D$19,ι_Μοντέλο_Ελέγχου_α!$D$22:$D$33,G44,C44)</f>
        <v>5688.2</v>
      </c>
      <c r="L44" s="58">
        <f t="shared" ref="L44:L75" si="12">I44-K44</f>
        <v>4811.8</v>
      </c>
      <c r="M44" s="58">
        <f t="shared" ref="M44:M75" si="13">MAX(J44-K44,0)</f>
        <v>34.39600000000064</v>
      </c>
      <c r="N44" s="65">
        <f>H44*ι_Μοντέλο_Ελέγχου_α!$B$7</f>
        <v>3651.2</v>
      </c>
      <c r="O44" s="65">
        <f>F44/2.5*ι_Μοντέλο_Ελέγχου_α!$B$18*(1-D44)</f>
        <v>3600</v>
      </c>
      <c r="P44" s="65">
        <f t="shared" ref="P44:P75" si="14">N44+O44</f>
        <v>7251.2</v>
      </c>
      <c r="Q44" s="65">
        <f>K44*ι_Μοντέλο_Ελέγχου_α!$B$8</f>
        <v>1137.6400000000001</v>
      </c>
      <c r="R44" s="65">
        <f>M44*ι_Μοντέλο_Ελέγχου_α!$B$9</f>
        <v>2.0637600000000385</v>
      </c>
      <c r="S44" s="65">
        <f t="shared" ref="S44:S75" si="15">Q44+R44</f>
        <v>1139.7037600000001</v>
      </c>
      <c r="T44" s="10">
        <f t="shared" ref="T44:T75" si="16">IFERROR(P44/S44,NA())</f>
        <v>6.3623550737430214</v>
      </c>
      <c r="U44" s="58">
        <f>IFERROR(-LN(1-P44*ι_Μοντέλο_Ελέγχου_α!$B$10/S44)/LN(1+ι_Μοντέλο_Ελέγχου_α!$B$10),NA())</f>
        <v>6.8729674010745425</v>
      </c>
      <c r="V44" s="9"/>
    </row>
    <row r="45" spans="1:22" x14ac:dyDescent="0.25">
      <c r="A45" s="9">
        <v>34</v>
      </c>
      <c r="B45" s="64">
        <f t="shared" si="9"/>
        <v>0.4</v>
      </c>
      <c r="C45" s="64">
        <f t="shared" si="10"/>
        <v>1.4</v>
      </c>
      <c r="D45" s="64">
        <f t="shared" si="11"/>
        <v>0</v>
      </c>
      <c r="E45" s="9" t="s">
        <v>189</v>
      </c>
      <c r="F45" s="10">
        <f>ι_Μοντέλο_Ελέγχου_α!B43</f>
        <v>10</v>
      </c>
      <c r="G45" s="10">
        <f>ι_Μοντέλο_Ελέγχου_α!C43</f>
        <v>300</v>
      </c>
      <c r="H45" s="10">
        <f>ια_Υπολογισμοί_Σεναρίων!$E$183</f>
        <v>3.96</v>
      </c>
      <c r="I45" s="58">
        <f>SUM('Απόδοση Εγκατάστασης'!$D$8:$D$19)*C45</f>
        <v>10500</v>
      </c>
      <c r="J45" s="58">
        <f>H45*ι_Μοντέλο_Ελέγχου_α!$B$14</f>
        <v>5722.5960000000005</v>
      </c>
      <c r="K45" s="58">
        <f>AnnualSelfConsumptionWithBattery(H45,ι_Μοντέλο_Ελέγχου_α!$B$22:$B$33,'Απόδοση Εγκατάστασης'!$D$8:$D$19,ι_Μοντέλο_Ελέγχου_α!$D$22:$D$33,G45,C45)</f>
        <v>5688.2</v>
      </c>
      <c r="L45" s="58">
        <f t="shared" si="12"/>
        <v>4811.8</v>
      </c>
      <c r="M45" s="58">
        <f t="shared" si="13"/>
        <v>34.39600000000064</v>
      </c>
      <c r="N45" s="65">
        <f>H45*ι_Μοντέλο_Ελέγχου_α!$B$7</f>
        <v>3651.2</v>
      </c>
      <c r="O45" s="65">
        <f>F45/2.5*ι_Μοντέλο_Ελέγχου_α!$B$18*(1-D45)</f>
        <v>4800</v>
      </c>
      <c r="P45" s="65">
        <f t="shared" si="14"/>
        <v>8451.2000000000007</v>
      </c>
      <c r="Q45" s="65">
        <f>K45*ι_Μοντέλο_Ελέγχου_α!$B$8</f>
        <v>1137.6400000000001</v>
      </c>
      <c r="R45" s="65">
        <f>M45*ι_Μοντέλο_Ελέγχου_α!$B$9</f>
        <v>2.0637600000000385</v>
      </c>
      <c r="S45" s="65">
        <f t="shared" si="15"/>
        <v>1139.7037600000001</v>
      </c>
      <c r="T45" s="10">
        <f t="shared" si="16"/>
        <v>7.4152602602627198</v>
      </c>
      <c r="U45" s="58">
        <f>IFERROR(-LN(1-P45*ι_Μοντέλο_Ελέγχου_α!$B$10/S45)/LN(1+ι_Μοντέλο_Ελέγχου_α!$B$10),NA())</f>
        <v>8.1063505362512078</v>
      </c>
      <c r="V45" s="9"/>
    </row>
    <row r="46" spans="1:22" x14ac:dyDescent="0.25">
      <c r="A46" s="9">
        <v>35</v>
      </c>
      <c r="B46" s="64">
        <f t="shared" si="9"/>
        <v>0.4</v>
      </c>
      <c r="C46" s="64">
        <f t="shared" si="10"/>
        <v>1.4</v>
      </c>
      <c r="D46" s="64">
        <f t="shared" si="11"/>
        <v>0</v>
      </c>
      <c r="E46" s="9" t="s">
        <v>190</v>
      </c>
      <c r="F46" s="10">
        <f>ι_Μοντέλο_Ελέγχου_α!B44</f>
        <v>0</v>
      </c>
      <c r="G46" s="10">
        <f>ι_Μοντέλο_Ελέγχου_α!C44</f>
        <v>0</v>
      </c>
      <c r="H46" s="10">
        <f>ια_Υπολογισμοί_Σεναρίων!$E$232</f>
        <v>5.94</v>
      </c>
      <c r="I46" s="58">
        <f>SUM('Απόδοση Εγκατάστασης'!$D$8:$D$19)*C46</f>
        <v>10500</v>
      </c>
      <c r="J46" s="58">
        <f>H46*ι_Μοντέλο_Ελέγχου_α!$B$14</f>
        <v>8583.8940000000021</v>
      </c>
      <c r="K46" s="58">
        <f>AnnualSelfConsumptionWithBattery(H46,ι_Μοντέλο_Ελέγχου_α!$B$22:$B$33,'Απόδοση Εγκατάστασης'!$D$8:$D$19,ι_Μοντέλο_Ελέγχου_α!$D$22:$D$33,G46,C46)</f>
        <v>5780.5320000000002</v>
      </c>
      <c r="L46" s="58">
        <f t="shared" si="12"/>
        <v>4719.4679999999998</v>
      </c>
      <c r="M46" s="58">
        <f t="shared" si="13"/>
        <v>2803.3620000000019</v>
      </c>
      <c r="N46" s="65">
        <f>H46*ι_Μοντέλο_Ελέγχου_α!$B$7</f>
        <v>5476.8</v>
      </c>
      <c r="O46" s="65">
        <f>F46/2.5*ι_Μοντέλο_Ελέγχου_α!$B$18*(1-D46)</f>
        <v>0</v>
      </c>
      <c r="P46" s="65">
        <f t="shared" si="14"/>
        <v>5476.8</v>
      </c>
      <c r="Q46" s="65">
        <f>K46*ι_Μοντέλο_Ελέγχου_α!$B$8</f>
        <v>1156.1064000000001</v>
      </c>
      <c r="R46" s="65">
        <f>M46*ι_Μοντέλο_Ελέγχου_α!$B$9</f>
        <v>168.20172000000011</v>
      </c>
      <c r="S46" s="65">
        <f t="shared" si="15"/>
        <v>1324.3081200000001</v>
      </c>
      <c r="T46" s="10">
        <f t="shared" si="16"/>
        <v>4.1355934599268327</v>
      </c>
      <c r="U46" s="58">
        <f>IFERROR(-LN(1-P46*ι_Μοντέλο_Ελέγχου_α!$B$10/S46)/LN(1+ι_Μοντέλο_Ελέγχου_α!$B$10),NA())</f>
        <v>4.3597066457750859</v>
      </c>
      <c r="V46" s="9"/>
    </row>
    <row r="47" spans="1:22" x14ac:dyDescent="0.25">
      <c r="A47" s="9">
        <v>36</v>
      </c>
      <c r="B47" s="64">
        <f t="shared" si="9"/>
        <v>0.4</v>
      </c>
      <c r="C47" s="64">
        <f t="shared" si="10"/>
        <v>1.4</v>
      </c>
      <c r="D47" s="64">
        <f t="shared" si="11"/>
        <v>0.5</v>
      </c>
      <c r="E47" s="9" t="s">
        <v>186</v>
      </c>
      <c r="F47" s="10">
        <f>ι_Μοντέλο_Ελέγχου_α!B40</f>
        <v>2.5</v>
      </c>
      <c r="G47" s="10">
        <f>ι_Μοντέλο_Ελέγχου_α!C40</f>
        <v>75</v>
      </c>
      <c r="H47" s="10">
        <f>ια_Υπολογισμοί_Σεναρίων!$E$36</f>
        <v>3.96</v>
      </c>
      <c r="I47" s="58">
        <f>SUM('Απόδοση Εγκατάστασης'!$D$8:$D$19)*C47</f>
        <v>10500</v>
      </c>
      <c r="J47" s="58">
        <f>H47*ι_Μοντέλο_Ελέγχου_α!$B$14</f>
        <v>5722.5960000000005</v>
      </c>
      <c r="K47" s="58">
        <f>AnnualSelfConsumptionWithBattery(H47,ι_Μοντέλο_Ελέγχου_α!$B$22:$B$33,'Απόδοση Εγκατάστασης'!$D$8:$D$19,ι_Μοντέλο_Ελέγχου_α!$D$22:$D$33,G47,C47)</f>
        <v>5361.6320000000005</v>
      </c>
      <c r="L47" s="58">
        <f t="shared" si="12"/>
        <v>5138.3679999999995</v>
      </c>
      <c r="M47" s="58">
        <f t="shared" si="13"/>
        <v>360.96399999999994</v>
      </c>
      <c r="N47" s="65">
        <f>H47*ι_Μοντέλο_Ελέγχου_α!$B$7</f>
        <v>3651.2</v>
      </c>
      <c r="O47" s="65">
        <f>F47/2.5*ι_Μοντέλο_Ελέγχου_α!$B$18*(1-D47)</f>
        <v>600</v>
      </c>
      <c r="P47" s="65">
        <f t="shared" si="14"/>
        <v>4251.2</v>
      </c>
      <c r="Q47" s="65">
        <f>K47*ι_Μοντέλο_Ελέγχου_α!$B$8</f>
        <v>1072.3264000000001</v>
      </c>
      <c r="R47" s="65">
        <f>M47*ι_Μοντέλο_Ελέγχου_α!$B$9</f>
        <v>21.657839999999997</v>
      </c>
      <c r="S47" s="65">
        <f t="shared" si="15"/>
        <v>1093.9842400000002</v>
      </c>
      <c r="T47" s="10">
        <f t="shared" si="16"/>
        <v>3.8859791983840637</v>
      </c>
      <c r="U47" s="58">
        <f>IFERROR(-LN(1-P47*ι_Μοντέλο_Ελέγχου_α!$B$10/S47)/LN(1+ι_Μοντέλο_Ελέγχου_α!$B$10),NA())</f>
        <v>4.0856176098569428</v>
      </c>
      <c r="V47" s="9"/>
    </row>
    <row r="48" spans="1:22" x14ac:dyDescent="0.25">
      <c r="A48" s="9">
        <v>37</v>
      </c>
      <c r="B48" s="64">
        <f t="shared" si="9"/>
        <v>0.4</v>
      </c>
      <c r="C48" s="64">
        <f t="shared" si="10"/>
        <v>1.4</v>
      </c>
      <c r="D48" s="64">
        <f t="shared" si="11"/>
        <v>0.5</v>
      </c>
      <c r="E48" s="9" t="s">
        <v>187</v>
      </c>
      <c r="F48" s="10">
        <f>ι_Μοντέλο_Ελέγχου_α!B41</f>
        <v>5</v>
      </c>
      <c r="G48" s="10">
        <f>ι_Μοντέλο_Ελέγχου_α!C41</f>
        <v>150</v>
      </c>
      <c r="H48" s="10">
        <f>ια_Υπολογισμοί_Σεναρίων!$E$85</f>
        <v>3.96</v>
      </c>
      <c r="I48" s="58">
        <f>SUM('Απόδοση Εγκατάστασης'!$D$8:$D$19)*C48</f>
        <v>10500</v>
      </c>
      <c r="J48" s="58">
        <f>H48*ι_Μοντέλο_Ελέγχου_α!$B$14</f>
        <v>5722.5960000000005</v>
      </c>
      <c r="K48" s="58">
        <f>AnnualSelfConsumptionWithBattery(H48,ι_Μοντέλο_Ελέγχου_α!$B$22:$B$33,'Απόδοση Εγκατάστασης'!$D$8:$D$19,ι_Μοντέλο_Ελέγχου_α!$D$22:$D$33,G48,C48)</f>
        <v>5614.64</v>
      </c>
      <c r="L48" s="58">
        <f t="shared" si="12"/>
        <v>4885.3599999999997</v>
      </c>
      <c r="M48" s="58">
        <f t="shared" si="13"/>
        <v>107.95600000000013</v>
      </c>
      <c r="N48" s="65">
        <f>H48*ι_Μοντέλο_Ελέγχου_α!$B$7</f>
        <v>3651.2</v>
      </c>
      <c r="O48" s="65">
        <f>F48/2.5*ι_Μοντέλο_Ελέγχου_α!$B$18*(1-D48)</f>
        <v>1200</v>
      </c>
      <c r="P48" s="65">
        <f t="shared" si="14"/>
        <v>4851.2</v>
      </c>
      <c r="Q48" s="65">
        <f>K48*ι_Μοντέλο_Ελέγχου_α!$B$8</f>
        <v>1122.9280000000001</v>
      </c>
      <c r="R48" s="65">
        <f>M48*ι_Μοντέλο_Ελέγχου_α!$B$9</f>
        <v>6.477360000000008</v>
      </c>
      <c r="S48" s="65">
        <f t="shared" si="15"/>
        <v>1129.4053600000002</v>
      </c>
      <c r="T48" s="10">
        <f t="shared" si="16"/>
        <v>4.2953576915909082</v>
      </c>
      <c r="U48" s="58">
        <f>IFERROR(-LN(1-P48*ι_Μοντέλο_Ελέγχου_α!$B$10/S48)/LN(1+ι_Μοντέλο_Ελέγχου_α!$B$10),NA())</f>
        <v>4.5359198606713527</v>
      </c>
      <c r="V48" s="9"/>
    </row>
    <row r="49" spans="1:22" x14ac:dyDescent="0.25">
      <c r="A49" s="9">
        <v>38</v>
      </c>
      <c r="B49" s="64">
        <f t="shared" si="9"/>
        <v>0.4</v>
      </c>
      <c r="C49" s="64">
        <f t="shared" si="10"/>
        <v>1.4</v>
      </c>
      <c r="D49" s="64">
        <f t="shared" si="11"/>
        <v>0.5</v>
      </c>
      <c r="E49" s="9" t="s">
        <v>188</v>
      </c>
      <c r="F49" s="10">
        <f>ι_Μοντέλο_Ελέγχου_α!B42</f>
        <v>7.5</v>
      </c>
      <c r="G49" s="10">
        <f>ι_Μοντέλο_Ελέγχου_α!C42</f>
        <v>225</v>
      </c>
      <c r="H49" s="10">
        <f>ια_Υπολογισμοί_Σεναρίων!$E$134</f>
        <v>3.96</v>
      </c>
      <c r="I49" s="58">
        <f>SUM('Απόδοση Εγκατάστασης'!$D$8:$D$19)*C49</f>
        <v>10500</v>
      </c>
      <c r="J49" s="58">
        <f>H49*ι_Μοντέλο_Ελέγχου_α!$B$14</f>
        <v>5722.5960000000005</v>
      </c>
      <c r="K49" s="58">
        <f>AnnualSelfConsumptionWithBattery(H49,ι_Μοντέλο_Ελέγχου_α!$B$22:$B$33,'Απόδοση Εγκατάστασης'!$D$8:$D$19,ι_Μοντέλο_Ελέγχου_α!$D$22:$D$33,G49,C49)</f>
        <v>5688.2</v>
      </c>
      <c r="L49" s="58">
        <f t="shared" si="12"/>
        <v>4811.8</v>
      </c>
      <c r="M49" s="58">
        <f t="shared" si="13"/>
        <v>34.39600000000064</v>
      </c>
      <c r="N49" s="65">
        <f>H49*ι_Μοντέλο_Ελέγχου_α!$B$7</f>
        <v>3651.2</v>
      </c>
      <c r="O49" s="65">
        <f>F49/2.5*ι_Μοντέλο_Ελέγχου_α!$B$18*(1-D49)</f>
        <v>1800</v>
      </c>
      <c r="P49" s="65">
        <f t="shared" si="14"/>
        <v>5451.2</v>
      </c>
      <c r="Q49" s="65">
        <f>K49*ι_Μοντέλο_Ελέγχου_α!$B$8</f>
        <v>1137.6400000000001</v>
      </c>
      <c r="R49" s="65">
        <f>M49*ι_Μοντέλο_Ελέγχου_α!$B$9</f>
        <v>2.0637600000000385</v>
      </c>
      <c r="S49" s="65">
        <f t="shared" si="15"/>
        <v>1139.7037600000001</v>
      </c>
      <c r="T49" s="10">
        <f t="shared" si="16"/>
        <v>4.7829972939634766</v>
      </c>
      <c r="U49" s="58">
        <f>IFERROR(-LN(1-P49*ι_Μοντέλο_Ελέγχου_α!$B$10/S49)/LN(1+ι_Μοντέλο_Ελέγχου_α!$B$10),NA())</f>
        <v>5.0776001464875913</v>
      </c>
      <c r="V49" s="9"/>
    </row>
    <row r="50" spans="1:22" x14ac:dyDescent="0.25">
      <c r="A50" s="9">
        <v>39</v>
      </c>
      <c r="B50" s="64">
        <f t="shared" si="9"/>
        <v>0.4</v>
      </c>
      <c r="C50" s="64">
        <f t="shared" si="10"/>
        <v>1.4</v>
      </c>
      <c r="D50" s="64">
        <f t="shared" si="11"/>
        <v>0.5</v>
      </c>
      <c r="E50" s="9" t="s">
        <v>189</v>
      </c>
      <c r="F50" s="10">
        <f>ι_Μοντέλο_Ελέγχου_α!B43</f>
        <v>10</v>
      </c>
      <c r="G50" s="10">
        <f>ι_Μοντέλο_Ελέγχου_α!C43</f>
        <v>300</v>
      </c>
      <c r="H50" s="10">
        <f>ια_Υπολογισμοί_Σεναρίων!$E$183</f>
        <v>3.96</v>
      </c>
      <c r="I50" s="58">
        <f>SUM('Απόδοση Εγκατάστασης'!$D$8:$D$19)*C50</f>
        <v>10500</v>
      </c>
      <c r="J50" s="58">
        <f>H50*ι_Μοντέλο_Ελέγχου_α!$B$14</f>
        <v>5722.5960000000005</v>
      </c>
      <c r="K50" s="58">
        <f>AnnualSelfConsumptionWithBattery(H50,ι_Μοντέλο_Ελέγχου_α!$B$22:$B$33,'Απόδοση Εγκατάστασης'!$D$8:$D$19,ι_Μοντέλο_Ελέγχου_α!$D$22:$D$33,G50,C50)</f>
        <v>5688.2</v>
      </c>
      <c r="L50" s="58">
        <f t="shared" si="12"/>
        <v>4811.8</v>
      </c>
      <c r="M50" s="58">
        <f t="shared" si="13"/>
        <v>34.39600000000064</v>
      </c>
      <c r="N50" s="65">
        <f>H50*ι_Μοντέλο_Ελέγχου_α!$B$7</f>
        <v>3651.2</v>
      </c>
      <c r="O50" s="65">
        <f>F50/2.5*ι_Μοντέλο_Ελέγχου_α!$B$18*(1-D50)</f>
        <v>2400</v>
      </c>
      <c r="P50" s="65">
        <f t="shared" si="14"/>
        <v>6051.2</v>
      </c>
      <c r="Q50" s="65">
        <f>K50*ι_Μοντέλο_Ελέγχου_α!$B$8</f>
        <v>1137.6400000000001</v>
      </c>
      <c r="R50" s="65">
        <f>M50*ι_Μοντέλο_Ελέγχου_α!$B$9</f>
        <v>2.0637600000000385</v>
      </c>
      <c r="S50" s="65">
        <f t="shared" si="15"/>
        <v>1139.7037600000001</v>
      </c>
      <c r="T50" s="10">
        <f t="shared" si="16"/>
        <v>5.3094498872233249</v>
      </c>
      <c r="U50" s="58">
        <f>IFERROR(-LN(1-P50*ι_Μοντέλο_Ελέγχου_α!$B$10/S50)/LN(1+ι_Μοντέλο_Ελέγχου_α!$B$10),NA())</f>
        <v>5.668991864168853</v>
      </c>
      <c r="V50" s="9"/>
    </row>
    <row r="51" spans="1:22" x14ac:dyDescent="0.25">
      <c r="A51" s="9">
        <v>40</v>
      </c>
      <c r="B51" s="64">
        <f t="shared" si="9"/>
        <v>0.4</v>
      </c>
      <c r="C51" s="64">
        <f t="shared" si="10"/>
        <v>1.4</v>
      </c>
      <c r="D51" s="64">
        <f t="shared" si="11"/>
        <v>0.5</v>
      </c>
      <c r="E51" s="9" t="s">
        <v>190</v>
      </c>
      <c r="F51" s="10">
        <f>ι_Μοντέλο_Ελέγχου_α!B44</f>
        <v>0</v>
      </c>
      <c r="G51" s="10">
        <f>ι_Μοντέλο_Ελέγχου_α!C44</f>
        <v>0</v>
      </c>
      <c r="H51" s="10">
        <f>ια_Υπολογισμοί_Σεναρίων!$E$232</f>
        <v>5.94</v>
      </c>
      <c r="I51" s="58">
        <f>SUM('Απόδοση Εγκατάστασης'!$D$8:$D$19)*C51</f>
        <v>10500</v>
      </c>
      <c r="J51" s="58">
        <f>H51*ι_Μοντέλο_Ελέγχου_α!$B$14</f>
        <v>8583.8940000000021</v>
      </c>
      <c r="K51" s="58">
        <f>AnnualSelfConsumptionWithBattery(H51,ι_Μοντέλο_Ελέγχου_α!$B$22:$B$33,'Απόδοση Εγκατάστασης'!$D$8:$D$19,ι_Μοντέλο_Ελέγχου_α!$D$22:$D$33,G51,C51)</f>
        <v>5780.5320000000002</v>
      </c>
      <c r="L51" s="58">
        <f t="shared" si="12"/>
        <v>4719.4679999999998</v>
      </c>
      <c r="M51" s="58">
        <f t="shared" si="13"/>
        <v>2803.3620000000019</v>
      </c>
      <c r="N51" s="65">
        <f>H51*ι_Μοντέλο_Ελέγχου_α!$B$7</f>
        <v>5476.8</v>
      </c>
      <c r="O51" s="65">
        <f>F51/2.5*ι_Μοντέλο_Ελέγχου_α!$B$18*(1-D51)</f>
        <v>0</v>
      </c>
      <c r="P51" s="65">
        <f t="shared" si="14"/>
        <v>5476.8</v>
      </c>
      <c r="Q51" s="65">
        <f>K51*ι_Μοντέλο_Ελέγχου_α!$B$8</f>
        <v>1156.1064000000001</v>
      </c>
      <c r="R51" s="65">
        <f>M51*ι_Μοντέλο_Ελέγχου_α!$B$9</f>
        <v>168.20172000000011</v>
      </c>
      <c r="S51" s="65">
        <f t="shared" si="15"/>
        <v>1324.3081200000001</v>
      </c>
      <c r="T51" s="10">
        <f t="shared" si="16"/>
        <v>4.1355934599268327</v>
      </c>
      <c r="U51" s="58">
        <f>IFERROR(-LN(1-P51*ι_Μοντέλο_Ελέγχου_α!$B$10/S51)/LN(1+ι_Μοντέλο_Ελέγχου_α!$B$10),NA())</f>
        <v>4.3597066457750859</v>
      </c>
      <c r="V51" s="9"/>
    </row>
    <row r="52" spans="1:22" x14ac:dyDescent="0.25">
      <c r="A52" s="9">
        <v>41</v>
      </c>
      <c r="B52" s="64">
        <f t="shared" si="9"/>
        <v>0.4</v>
      </c>
      <c r="C52" s="64">
        <f t="shared" si="10"/>
        <v>1.4</v>
      </c>
      <c r="D52" s="64">
        <f t="shared" si="11"/>
        <v>0.8</v>
      </c>
      <c r="E52" s="9" t="s">
        <v>186</v>
      </c>
      <c r="F52" s="10">
        <f>ι_Μοντέλο_Ελέγχου_α!B40</f>
        <v>2.5</v>
      </c>
      <c r="G52" s="10">
        <f>ι_Μοντέλο_Ελέγχου_α!C40</f>
        <v>75</v>
      </c>
      <c r="H52" s="10">
        <f>ια_Υπολογισμοί_Σεναρίων!$E$36</f>
        <v>3.96</v>
      </c>
      <c r="I52" s="58">
        <f>SUM('Απόδοση Εγκατάστασης'!$D$8:$D$19)*C52</f>
        <v>10500</v>
      </c>
      <c r="J52" s="58">
        <f>H52*ι_Μοντέλο_Ελέγχου_α!$B$14</f>
        <v>5722.5960000000005</v>
      </c>
      <c r="K52" s="58">
        <f>AnnualSelfConsumptionWithBattery(H52,ι_Μοντέλο_Ελέγχου_α!$B$22:$B$33,'Απόδοση Εγκατάστασης'!$D$8:$D$19,ι_Μοντέλο_Ελέγχου_α!$D$22:$D$33,G52,C52)</f>
        <v>5361.6320000000005</v>
      </c>
      <c r="L52" s="58">
        <f t="shared" si="12"/>
        <v>5138.3679999999995</v>
      </c>
      <c r="M52" s="58">
        <f t="shared" si="13"/>
        <v>360.96399999999994</v>
      </c>
      <c r="N52" s="65">
        <f>H52*ι_Μοντέλο_Ελέγχου_α!$B$7</f>
        <v>3651.2</v>
      </c>
      <c r="O52" s="65">
        <f>F52/2.5*ι_Μοντέλο_Ελέγχου_α!$B$18*(1-D52)</f>
        <v>239.99999999999994</v>
      </c>
      <c r="P52" s="65">
        <f t="shared" si="14"/>
        <v>3891.2</v>
      </c>
      <c r="Q52" s="65">
        <f>K52*ι_Μοντέλο_Ελέγχου_α!$B$8</f>
        <v>1072.3264000000001</v>
      </c>
      <c r="R52" s="65">
        <f>M52*ι_Μοντέλο_Ελέγχου_α!$B$9</f>
        <v>21.657839999999997</v>
      </c>
      <c r="S52" s="65">
        <f t="shared" si="15"/>
        <v>1093.9842400000002</v>
      </c>
      <c r="T52" s="10">
        <f t="shared" si="16"/>
        <v>3.5569068161347546</v>
      </c>
      <c r="U52" s="58">
        <f>IFERROR(-LN(1-P52*ι_Μοντέλο_Ελέγχου_α!$B$10/S52)/LN(1+ι_Μοντέλο_Ελέγχου_α!$B$10),NA())</f>
        <v>3.7265380843879803</v>
      </c>
      <c r="V52" s="9"/>
    </row>
    <row r="53" spans="1:22" x14ac:dyDescent="0.25">
      <c r="A53" s="9">
        <v>42</v>
      </c>
      <c r="B53" s="64">
        <f t="shared" si="9"/>
        <v>0.4</v>
      </c>
      <c r="C53" s="64">
        <f t="shared" si="10"/>
        <v>1.4</v>
      </c>
      <c r="D53" s="64">
        <f t="shared" si="11"/>
        <v>0.8</v>
      </c>
      <c r="E53" s="9" t="s">
        <v>187</v>
      </c>
      <c r="F53" s="10">
        <f>ι_Μοντέλο_Ελέγχου_α!B41</f>
        <v>5</v>
      </c>
      <c r="G53" s="10">
        <f>ι_Μοντέλο_Ελέγχου_α!C41</f>
        <v>150</v>
      </c>
      <c r="H53" s="10">
        <f>ια_Υπολογισμοί_Σεναρίων!$E$85</f>
        <v>3.96</v>
      </c>
      <c r="I53" s="58">
        <f>SUM('Απόδοση Εγκατάστασης'!$D$8:$D$19)*C53</f>
        <v>10500</v>
      </c>
      <c r="J53" s="58">
        <f>H53*ι_Μοντέλο_Ελέγχου_α!$B$14</f>
        <v>5722.5960000000005</v>
      </c>
      <c r="K53" s="58">
        <f>AnnualSelfConsumptionWithBattery(H53,ι_Μοντέλο_Ελέγχου_α!$B$22:$B$33,'Απόδοση Εγκατάστασης'!$D$8:$D$19,ι_Μοντέλο_Ελέγχου_α!$D$22:$D$33,G53,C53)</f>
        <v>5614.64</v>
      </c>
      <c r="L53" s="58">
        <f t="shared" si="12"/>
        <v>4885.3599999999997</v>
      </c>
      <c r="M53" s="58">
        <f t="shared" si="13"/>
        <v>107.95600000000013</v>
      </c>
      <c r="N53" s="65">
        <f>H53*ι_Μοντέλο_Ελέγχου_α!$B$7</f>
        <v>3651.2</v>
      </c>
      <c r="O53" s="65">
        <f>F53/2.5*ι_Μοντέλο_Ελέγχου_α!$B$18*(1-D53)</f>
        <v>479.99999999999989</v>
      </c>
      <c r="P53" s="65">
        <f t="shared" si="14"/>
        <v>4131.2</v>
      </c>
      <c r="Q53" s="65">
        <f>K53*ι_Μοντέλο_Ελέγχου_α!$B$8</f>
        <v>1122.9280000000001</v>
      </c>
      <c r="R53" s="65">
        <f>M53*ι_Μοντέλο_Ελέγχου_α!$B$9</f>
        <v>6.477360000000008</v>
      </c>
      <c r="S53" s="65">
        <f t="shared" si="15"/>
        <v>1129.4053600000002</v>
      </c>
      <c r="T53" s="10">
        <f t="shared" si="16"/>
        <v>3.6578540764141576</v>
      </c>
      <c r="U53" s="58">
        <f>IFERROR(-LN(1-P53*ι_Μοντέλο_Ελέγχου_α!$B$10/S53)/LN(1+ι_Μοντέλο_Ελέγχου_α!$B$10),NA())</f>
        <v>3.836419184452581</v>
      </c>
      <c r="V53" s="9"/>
    </row>
    <row r="54" spans="1:22" x14ac:dyDescent="0.25">
      <c r="A54" s="9">
        <v>43</v>
      </c>
      <c r="B54" s="64">
        <f t="shared" si="9"/>
        <v>0.4</v>
      </c>
      <c r="C54" s="64">
        <f t="shared" si="10"/>
        <v>1.4</v>
      </c>
      <c r="D54" s="64">
        <f t="shared" si="11"/>
        <v>0.8</v>
      </c>
      <c r="E54" s="9" t="s">
        <v>188</v>
      </c>
      <c r="F54" s="10">
        <f>ι_Μοντέλο_Ελέγχου_α!B42</f>
        <v>7.5</v>
      </c>
      <c r="G54" s="10">
        <f>ι_Μοντέλο_Ελέγχου_α!C42</f>
        <v>225</v>
      </c>
      <c r="H54" s="10">
        <f>ια_Υπολογισμοί_Σεναρίων!$E$134</f>
        <v>3.96</v>
      </c>
      <c r="I54" s="58">
        <f>SUM('Απόδοση Εγκατάστασης'!$D$8:$D$19)*C54</f>
        <v>10500</v>
      </c>
      <c r="J54" s="58">
        <f>H54*ι_Μοντέλο_Ελέγχου_α!$B$14</f>
        <v>5722.5960000000005</v>
      </c>
      <c r="K54" s="58">
        <f>AnnualSelfConsumptionWithBattery(H54,ι_Μοντέλο_Ελέγχου_α!$B$22:$B$33,'Απόδοση Εγκατάστασης'!$D$8:$D$19,ι_Μοντέλο_Ελέγχου_α!$D$22:$D$33,G54,C54)</f>
        <v>5688.2</v>
      </c>
      <c r="L54" s="58">
        <f t="shared" si="12"/>
        <v>4811.8</v>
      </c>
      <c r="M54" s="58">
        <f t="shared" si="13"/>
        <v>34.39600000000064</v>
      </c>
      <c r="N54" s="65">
        <f>H54*ι_Μοντέλο_Ελέγχου_α!$B$7</f>
        <v>3651.2</v>
      </c>
      <c r="O54" s="65">
        <f>F54/2.5*ι_Μοντέλο_Ελέγχου_α!$B$18*(1-D54)</f>
        <v>719.99999999999989</v>
      </c>
      <c r="P54" s="65">
        <f t="shared" si="14"/>
        <v>4371.2</v>
      </c>
      <c r="Q54" s="65">
        <f>K54*ι_Μοντέλο_Ελέγχου_α!$B$8</f>
        <v>1137.6400000000001</v>
      </c>
      <c r="R54" s="65">
        <f>M54*ι_Μοντέλο_Ελέγχου_α!$B$9</f>
        <v>2.0637600000000385</v>
      </c>
      <c r="S54" s="65">
        <f t="shared" si="15"/>
        <v>1139.7037600000001</v>
      </c>
      <c r="T54" s="10">
        <f t="shared" si="16"/>
        <v>3.8353826260957491</v>
      </c>
      <c r="U54" s="58">
        <f>IFERROR(-LN(1-P54*ι_Μοντέλο_Ελέγχου_α!$B$10/S54)/LN(1+ι_Μοντέλο_Ελέγχου_α!$B$10),NA())</f>
        <v>4.0302409005286339</v>
      </c>
      <c r="V54" s="9"/>
    </row>
    <row r="55" spans="1:22" x14ac:dyDescent="0.25">
      <c r="A55" s="9">
        <v>44</v>
      </c>
      <c r="B55" s="64">
        <f t="shared" si="9"/>
        <v>0.4</v>
      </c>
      <c r="C55" s="64">
        <f t="shared" si="10"/>
        <v>1.4</v>
      </c>
      <c r="D55" s="64">
        <f t="shared" si="11"/>
        <v>0.8</v>
      </c>
      <c r="E55" s="9" t="s">
        <v>189</v>
      </c>
      <c r="F55" s="10">
        <f>ι_Μοντέλο_Ελέγχου_α!B43</f>
        <v>10</v>
      </c>
      <c r="G55" s="10">
        <f>ι_Μοντέλο_Ελέγχου_α!C43</f>
        <v>300</v>
      </c>
      <c r="H55" s="10">
        <f>ια_Υπολογισμοί_Σεναρίων!$E$183</f>
        <v>3.96</v>
      </c>
      <c r="I55" s="58">
        <f>SUM('Απόδοση Εγκατάστασης'!$D$8:$D$19)*C55</f>
        <v>10500</v>
      </c>
      <c r="J55" s="58">
        <f>H55*ι_Μοντέλο_Ελέγχου_α!$B$14</f>
        <v>5722.5960000000005</v>
      </c>
      <c r="K55" s="58">
        <f>AnnualSelfConsumptionWithBattery(H55,ι_Μοντέλο_Ελέγχου_α!$B$22:$B$33,'Απόδοση Εγκατάστασης'!$D$8:$D$19,ι_Μοντέλο_Ελέγχου_α!$D$22:$D$33,G55,C55)</f>
        <v>5688.2</v>
      </c>
      <c r="L55" s="58">
        <f t="shared" si="12"/>
        <v>4811.8</v>
      </c>
      <c r="M55" s="58">
        <f t="shared" si="13"/>
        <v>34.39600000000064</v>
      </c>
      <c r="N55" s="65">
        <f>H55*ι_Μοντέλο_Ελέγχου_α!$B$7</f>
        <v>3651.2</v>
      </c>
      <c r="O55" s="65">
        <f>F55/2.5*ι_Μοντέλο_Ελέγχου_α!$B$18*(1-D55)</f>
        <v>959.99999999999977</v>
      </c>
      <c r="P55" s="65">
        <f t="shared" si="14"/>
        <v>4611.2</v>
      </c>
      <c r="Q55" s="65">
        <f>K55*ι_Μοντέλο_Ελέγχου_α!$B$8</f>
        <v>1137.6400000000001</v>
      </c>
      <c r="R55" s="65">
        <f>M55*ι_Μοντέλο_Ελέγχου_α!$B$9</f>
        <v>2.0637600000000385</v>
      </c>
      <c r="S55" s="65">
        <f t="shared" si="15"/>
        <v>1139.7037600000001</v>
      </c>
      <c r="T55" s="10">
        <f t="shared" si="16"/>
        <v>4.0459636633996885</v>
      </c>
      <c r="U55" s="58">
        <f>IFERROR(-LN(1-P55*ι_Μοντέλο_Ελέγχου_α!$B$10/S55)/LN(1+ι_Μοντέλο_Ελέγχου_α!$B$10),NA())</f>
        <v>4.2611173403447973</v>
      </c>
      <c r="V55" s="9"/>
    </row>
    <row r="56" spans="1:22" x14ac:dyDescent="0.25">
      <c r="A56" s="9">
        <v>45</v>
      </c>
      <c r="B56" s="64">
        <f t="shared" si="9"/>
        <v>0.4</v>
      </c>
      <c r="C56" s="64">
        <f t="shared" si="10"/>
        <v>1.4</v>
      </c>
      <c r="D56" s="64">
        <f t="shared" si="11"/>
        <v>0.8</v>
      </c>
      <c r="E56" s="9" t="s">
        <v>190</v>
      </c>
      <c r="F56" s="10">
        <f>ι_Μοντέλο_Ελέγχου_α!B44</f>
        <v>0</v>
      </c>
      <c r="G56" s="10">
        <f>ι_Μοντέλο_Ελέγχου_α!C44</f>
        <v>0</v>
      </c>
      <c r="H56" s="10">
        <f>ια_Υπολογισμοί_Σεναρίων!$E$232</f>
        <v>5.94</v>
      </c>
      <c r="I56" s="58">
        <f>SUM('Απόδοση Εγκατάστασης'!$D$8:$D$19)*C56</f>
        <v>10500</v>
      </c>
      <c r="J56" s="58">
        <f>H56*ι_Μοντέλο_Ελέγχου_α!$B$14</f>
        <v>8583.8940000000021</v>
      </c>
      <c r="K56" s="58">
        <f>AnnualSelfConsumptionWithBattery(H56,ι_Μοντέλο_Ελέγχου_α!$B$22:$B$33,'Απόδοση Εγκατάστασης'!$D$8:$D$19,ι_Μοντέλο_Ελέγχου_α!$D$22:$D$33,G56,C56)</f>
        <v>5780.5320000000002</v>
      </c>
      <c r="L56" s="58">
        <f t="shared" si="12"/>
        <v>4719.4679999999998</v>
      </c>
      <c r="M56" s="58">
        <f t="shared" si="13"/>
        <v>2803.3620000000019</v>
      </c>
      <c r="N56" s="65">
        <f>H56*ι_Μοντέλο_Ελέγχου_α!$B$7</f>
        <v>5476.8</v>
      </c>
      <c r="O56" s="65">
        <f>F56/2.5*ι_Μοντέλο_Ελέγχου_α!$B$18*(1-D56)</f>
        <v>0</v>
      </c>
      <c r="P56" s="65">
        <f t="shared" si="14"/>
        <v>5476.8</v>
      </c>
      <c r="Q56" s="65">
        <f>K56*ι_Μοντέλο_Ελέγχου_α!$B$8</f>
        <v>1156.1064000000001</v>
      </c>
      <c r="R56" s="65">
        <f>M56*ι_Μοντέλο_Ελέγχου_α!$B$9</f>
        <v>168.20172000000011</v>
      </c>
      <c r="S56" s="65">
        <f t="shared" si="15"/>
        <v>1324.3081200000001</v>
      </c>
      <c r="T56" s="10">
        <f t="shared" si="16"/>
        <v>4.1355934599268327</v>
      </c>
      <c r="U56" s="58">
        <f>IFERROR(-LN(1-P56*ι_Μοντέλο_Ελέγχου_α!$B$10/S56)/LN(1+ι_Μοντέλο_Ελέγχου_α!$B$10),NA())</f>
        <v>4.3597066457750859</v>
      </c>
      <c r="V56" s="9"/>
    </row>
    <row r="57" spans="1:22" x14ac:dyDescent="0.25">
      <c r="A57" s="9">
        <v>46</v>
      </c>
      <c r="B57" s="64">
        <f t="shared" si="9"/>
        <v>0.6</v>
      </c>
      <c r="C57" s="64">
        <f t="shared" si="10"/>
        <v>1.6</v>
      </c>
      <c r="D57" s="64">
        <f t="shared" si="11"/>
        <v>0</v>
      </c>
      <c r="E57" s="9" t="s">
        <v>186</v>
      </c>
      <c r="F57" s="10">
        <f>ι_Μοντέλο_Ελέγχου_α!B40</f>
        <v>2.5</v>
      </c>
      <c r="G57" s="10">
        <f>ι_Μοντέλο_Ελέγχου_α!C40</f>
        <v>75</v>
      </c>
      <c r="H57" s="10">
        <f>ια_Υπολογισμοί_Σεναρίων!$E$36</f>
        <v>3.96</v>
      </c>
      <c r="I57" s="58">
        <f>SUM('Απόδοση Εγκατάστασης'!$D$8:$D$19)*C57</f>
        <v>12000</v>
      </c>
      <c r="J57" s="58">
        <f>H57*ι_Μοντέλο_Ελέγχου_α!$B$14</f>
        <v>5722.5960000000005</v>
      </c>
      <c r="K57" s="58">
        <f>AnnualSelfConsumptionWithBattery(H57,ι_Μοντέλο_Ελέγχου_α!$B$22:$B$33,'Απόδοση Εγκατάστασης'!$D$8:$D$19,ι_Μοντέλο_Ελέγχου_α!$D$22:$D$33,G57,C57)</f>
        <v>5556.64</v>
      </c>
      <c r="L57" s="58">
        <f t="shared" si="12"/>
        <v>6443.36</v>
      </c>
      <c r="M57" s="58">
        <f t="shared" si="13"/>
        <v>165.95600000000013</v>
      </c>
      <c r="N57" s="65">
        <f>H57*ι_Μοντέλο_Ελέγχου_α!$B$7</f>
        <v>3651.2</v>
      </c>
      <c r="O57" s="65">
        <f>F57/2.5*ι_Μοντέλο_Ελέγχου_α!$B$18*(1-D57)</f>
        <v>1200</v>
      </c>
      <c r="P57" s="65">
        <f t="shared" si="14"/>
        <v>4851.2</v>
      </c>
      <c r="Q57" s="65">
        <f>K57*ι_Μοντέλο_Ελέγχου_α!$B$8</f>
        <v>1111.3280000000002</v>
      </c>
      <c r="R57" s="65">
        <f>M57*ι_Μοντέλο_Ελέγχου_α!$B$9</f>
        <v>9.9573600000000067</v>
      </c>
      <c r="S57" s="65">
        <f t="shared" si="15"/>
        <v>1121.2853600000003</v>
      </c>
      <c r="T57" s="10">
        <f t="shared" si="16"/>
        <v>4.3264633366835348</v>
      </c>
      <c r="U57" s="58">
        <f>IFERROR(-LN(1-P57*ι_Μοντέλο_Ελέγχου_α!$B$10/S57)/LN(1+ι_Μοντέλο_Ελέγχου_α!$B$10),NA())</f>
        <v>4.5702997055038157</v>
      </c>
      <c r="V57" s="9"/>
    </row>
    <row r="58" spans="1:22" x14ac:dyDescent="0.25">
      <c r="A58" s="9">
        <v>47</v>
      </c>
      <c r="B58" s="64">
        <f t="shared" si="9"/>
        <v>0.6</v>
      </c>
      <c r="C58" s="64">
        <f t="shared" si="10"/>
        <v>1.6</v>
      </c>
      <c r="D58" s="64">
        <f t="shared" si="11"/>
        <v>0</v>
      </c>
      <c r="E58" s="9" t="s">
        <v>187</v>
      </c>
      <c r="F58" s="10">
        <f>ι_Μοντέλο_Ελέγχου_α!B41</f>
        <v>5</v>
      </c>
      <c r="G58" s="10">
        <f>ι_Μοντέλο_Ελέγχου_α!C41</f>
        <v>150</v>
      </c>
      <c r="H58" s="10">
        <f>ια_Υπολογισμοί_Σεναρίων!$E$85</f>
        <v>3.96</v>
      </c>
      <c r="I58" s="58">
        <f>SUM('Απόδοση Εγκατάστασης'!$D$8:$D$19)*C58</f>
        <v>12000</v>
      </c>
      <c r="J58" s="58">
        <f>H58*ι_Μοντέλο_Ελέγχου_α!$B$14</f>
        <v>5722.5960000000005</v>
      </c>
      <c r="K58" s="58">
        <f>AnnualSelfConsumptionWithBattery(H58,ι_Μοντέλο_Ελέγχου_α!$B$22:$B$33,'Απόδοση Εγκατάστασης'!$D$8:$D$19,ι_Μοντέλο_Ελέγχου_α!$D$22:$D$33,G58,C58)</f>
        <v>5722.5960000000005</v>
      </c>
      <c r="L58" s="58">
        <f t="shared" si="12"/>
        <v>6277.4039999999995</v>
      </c>
      <c r="M58" s="58">
        <f t="shared" si="13"/>
        <v>0</v>
      </c>
      <c r="N58" s="65">
        <f>H58*ι_Μοντέλο_Ελέγχου_α!$B$7</f>
        <v>3651.2</v>
      </c>
      <c r="O58" s="65">
        <f>F58/2.5*ι_Μοντέλο_Ελέγχου_α!$B$18*(1-D58)</f>
        <v>2400</v>
      </c>
      <c r="P58" s="65">
        <f t="shared" si="14"/>
        <v>6051.2</v>
      </c>
      <c r="Q58" s="65">
        <f>K58*ι_Μοντέλο_Ελέγχου_α!$B$8</f>
        <v>1144.5192000000002</v>
      </c>
      <c r="R58" s="65">
        <f>M58*ι_Μοντέλο_Ελέγχου_α!$B$9</f>
        <v>0</v>
      </c>
      <c r="S58" s="65">
        <f t="shared" si="15"/>
        <v>1144.5192000000002</v>
      </c>
      <c r="T58" s="10">
        <f t="shared" si="16"/>
        <v>5.2871109545388135</v>
      </c>
      <c r="U58" s="58">
        <f>IFERROR(-LN(1-P58*ι_Μοντέλο_Ελέγχου_α!$B$10/S58)/LN(1+ι_Μοντέλο_Ελέγχου_α!$B$10),NA())</f>
        <v>5.6437561624827257</v>
      </c>
      <c r="V58" s="9"/>
    </row>
    <row r="59" spans="1:22" x14ac:dyDescent="0.25">
      <c r="A59" s="9">
        <v>48</v>
      </c>
      <c r="B59" s="64">
        <f t="shared" si="9"/>
        <v>0.6</v>
      </c>
      <c r="C59" s="64">
        <f t="shared" si="10"/>
        <v>1.6</v>
      </c>
      <c r="D59" s="64">
        <f t="shared" si="11"/>
        <v>0</v>
      </c>
      <c r="E59" s="9" t="s">
        <v>188</v>
      </c>
      <c r="F59" s="10">
        <f>ι_Μοντέλο_Ελέγχου_α!B42</f>
        <v>7.5</v>
      </c>
      <c r="G59" s="10">
        <f>ι_Μοντέλο_Ελέγχου_α!C42</f>
        <v>225</v>
      </c>
      <c r="H59" s="10">
        <f>ια_Υπολογισμοί_Σεναρίων!$E$134</f>
        <v>3.96</v>
      </c>
      <c r="I59" s="58">
        <f>SUM('Απόδοση Εγκατάστασης'!$D$8:$D$19)*C59</f>
        <v>12000</v>
      </c>
      <c r="J59" s="58">
        <f>H59*ι_Μοντέλο_Ελέγχου_α!$B$14</f>
        <v>5722.5960000000005</v>
      </c>
      <c r="K59" s="58">
        <f>AnnualSelfConsumptionWithBattery(H59,ι_Μοντέλο_Ελέγχου_α!$B$22:$B$33,'Απόδοση Εγκατάστασης'!$D$8:$D$19,ι_Μοντέλο_Ελέγχου_α!$D$22:$D$33,G59,C59)</f>
        <v>5722.5960000000005</v>
      </c>
      <c r="L59" s="58">
        <f t="shared" si="12"/>
        <v>6277.4039999999995</v>
      </c>
      <c r="M59" s="58">
        <f t="shared" si="13"/>
        <v>0</v>
      </c>
      <c r="N59" s="65">
        <f>H59*ι_Μοντέλο_Ελέγχου_α!$B$7</f>
        <v>3651.2</v>
      </c>
      <c r="O59" s="65">
        <f>F59/2.5*ι_Μοντέλο_Ελέγχου_α!$B$18*(1-D59)</f>
        <v>3600</v>
      </c>
      <c r="P59" s="65">
        <f t="shared" si="14"/>
        <v>7251.2</v>
      </c>
      <c r="Q59" s="65">
        <f>K59*ι_Μοντέλο_Ελέγχου_α!$B$8</f>
        <v>1144.5192000000002</v>
      </c>
      <c r="R59" s="65">
        <f>M59*ι_Μοντέλο_Ελέγχου_α!$B$9</f>
        <v>0</v>
      </c>
      <c r="S59" s="65">
        <f t="shared" si="15"/>
        <v>1144.5192000000002</v>
      </c>
      <c r="T59" s="10">
        <f t="shared" si="16"/>
        <v>6.3355861570517984</v>
      </c>
      <c r="U59" s="58">
        <f>IFERROR(-LN(1-P59*ι_Μοντέλο_Ελέγχου_α!$B$10/S59)/LN(1+ι_Μοντέλο_Ελέγχου_α!$B$10),NA())</f>
        <v>6.8419993762640408</v>
      </c>
      <c r="V59" s="9"/>
    </row>
    <row r="60" spans="1:22" x14ac:dyDescent="0.25">
      <c r="A60" s="9">
        <v>49</v>
      </c>
      <c r="B60" s="64">
        <f t="shared" si="9"/>
        <v>0.6</v>
      </c>
      <c r="C60" s="64">
        <f t="shared" si="10"/>
        <v>1.6</v>
      </c>
      <c r="D60" s="64">
        <f t="shared" si="11"/>
        <v>0</v>
      </c>
      <c r="E60" s="9" t="s">
        <v>189</v>
      </c>
      <c r="F60" s="10">
        <f>ι_Μοντέλο_Ελέγχου_α!B43</f>
        <v>10</v>
      </c>
      <c r="G60" s="10">
        <f>ι_Μοντέλο_Ελέγχου_α!C43</f>
        <v>300</v>
      </c>
      <c r="H60" s="10">
        <f>ια_Υπολογισμοί_Σεναρίων!$E$183</f>
        <v>3.96</v>
      </c>
      <c r="I60" s="58">
        <f>SUM('Απόδοση Εγκατάστασης'!$D$8:$D$19)*C60</f>
        <v>12000</v>
      </c>
      <c r="J60" s="58">
        <f>H60*ι_Μοντέλο_Ελέγχου_α!$B$14</f>
        <v>5722.5960000000005</v>
      </c>
      <c r="K60" s="58">
        <f>AnnualSelfConsumptionWithBattery(H60,ι_Μοντέλο_Ελέγχου_α!$B$22:$B$33,'Απόδοση Εγκατάστασης'!$D$8:$D$19,ι_Μοντέλο_Ελέγχου_α!$D$22:$D$33,G60,C60)</f>
        <v>5722.5960000000005</v>
      </c>
      <c r="L60" s="58">
        <f t="shared" si="12"/>
        <v>6277.4039999999995</v>
      </c>
      <c r="M60" s="58">
        <f t="shared" si="13"/>
        <v>0</v>
      </c>
      <c r="N60" s="65">
        <f>H60*ι_Μοντέλο_Ελέγχου_α!$B$7</f>
        <v>3651.2</v>
      </c>
      <c r="O60" s="65">
        <f>F60/2.5*ι_Μοντέλο_Ελέγχου_α!$B$18*(1-D60)</f>
        <v>4800</v>
      </c>
      <c r="P60" s="65">
        <f t="shared" si="14"/>
        <v>8451.2000000000007</v>
      </c>
      <c r="Q60" s="65">
        <f>K60*ι_Μοντέλο_Ελέγχου_α!$B$8</f>
        <v>1144.5192000000002</v>
      </c>
      <c r="R60" s="65">
        <f>M60*ι_Μοντέλο_Ελέγχου_α!$B$9</f>
        <v>0</v>
      </c>
      <c r="S60" s="65">
        <f t="shared" si="15"/>
        <v>1144.5192000000002</v>
      </c>
      <c r="T60" s="10">
        <f t="shared" si="16"/>
        <v>7.3840613595647842</v>
      </c>
      <c r="U60" s="58">
        <f>IFERROR(-LN(1-P60*ι_Μοντέλο_Ελέγχου_α!$B$10/S60)/LN(1+ι_Μοντέλο_Ελέγχου_α!$B$10),NA())</f>
        <v>8.0693674252962957</v>
      </c>
      <c r="V60" s="9"/>
    </row>
    <row r="61" spans="1:22" x14ac:dyDescent="0.25">
      <c r="A61" s="9">
        <v>50</v>
      </c>
      <c r="B61" s="64">
        <f t="shared" si="9"/>
        <v>0.6</v>
      </c>
      <c r="C61" s="64">
        <f t="shared" si="10"/>
        <v>1.6</v>
      </c>
      <c r="D61" s="64">
        <f t="shared" si="11"/>
        <v>0</v>
      </c>
      <c r="E61" s="9" t="s">
        <v>190</v>
      </c>
      <c r="F61" s="10">
        <f>ι_Μοντέλο_Ελέγχου_α!B44</f>
        <v>0</v>
      </c>
      <c r="G61" s="10">
        <f>ι_Μοντέλο_Ελέγχου_α!C44</f>
        <v>0</v>
      </c>
      <c r="H61" s="10">
        <f>ια_Υπολογισμοί_Σεναρίων!$E$232</f>
        <v>5.94</v>
      </c>
      <c r="I61" s="58">
        <f>SUM('Απόδοση Εγκατάστασης'!$D$8:$D$19)*C61</f>
        <v>12000</v>
      </c>
      <c r="J61" s="58">
        <f>H61*ι_Μοντέλο_Ελέγχου_α!$B$14</f>
        <v>8583.8940000000021</v>
      </c>
      <c r="K61" s="58">
        <f>AnnualSelfConsumptionWithBattery(H61,ι_Μοντέλο_Ελέγχου_α!$B$22:$B$33,'Απόδοση Εγκατάστασης'!$D$8:$D$19,ι_Μοντέλο_Ελέγχου_α!$D$22:$D$33,G61,C61)</f>
        <v>6314.9080000000004</v>
      </c>
      <c r="L61" s="58">
        <f t="shared" si="12"/>
        <v>5685.0919999999996</v>
      </c>
      <c r="M61" s="58">
        <f t="shared" si="13"/>
        <v>2268.9860000000017</v>
      </c>
      <c r="N61" s="65">
        <f>H61*ι_Μοντέλο_Ελέγχου_α!$B$7</f>
        <v>5476.8</v>
      </c>
      <c r="O61" s="65">
        <f>F61/2.5*ι_Μοντέλο_Ελέγχου_α!$B$18*(1-D61)</f>
        <v>0</v>
      </c>
      <c r="P61" s="65">
        <f t="shared" si="14"/>
        <v>5476.8</v>
      </c>
      <c r="Q61" s="65">
        <f>K61*ι_Μοντέλο_Ελέγχου_α!$B$8</f>
        <v>1262.9816000000001</v>
      </c>
      <c r="R61" s="65">
        <f>M61*ι_Μοντέλο_Ελέγχου_α!$B$9</f>
        <v>136.13916000000009</v>
      </c>
      <c r="S61" s="65">
        <f t="shared" si="15"/>
        <v>1399.1207600000002</v>
      </c>
      <c r="T61" s="10">
        <f t="shared" si="16"/>
        <v>3.9144583917116629</v>
      </c>
      <c r="U61" s="58">
        <f>IFERROR(-LN(1-P61*ι_Μοντέλο_Ελέγχου_α!$B$10/S61)/LN(1+ι_Μοντέλο_Ελέγχου_α!$B$10),NA())</f>
        <v>4.1168141204388728</v>
      </c>
      <c r="V61" s="9"/>
    </row>
    <row r="62" spans="1:22" x14ac:dyDescent="0.25">
      <c r="A62" s="9">
        <v>51</v>
      </c>
      <c r="B62" s="64">
        <f t="shared" si="9"/>
        <v>0.6</v>
      </c>
      <c r="C62" s="64">
        <f t="shared" si="10"/>
        <v>1.6</v>
      </c>
      <c r="D62" s="64">
        <f t="shared" si="11"/>
        <v>0.5</v>
      </c>
      <c r="E62" s="9" t="s">
        <v>186</v>
      </c>
      <c r="F62" s="10">
        <f>ι_Μοντέλο_Ελέγχου_α!B40</f>
        <v>2.5</v>
      </c>
      <c r="G62" s="10">
        <f>ι_Μοντέλο_Ελέγχου_α!C40</f>
        <v>75</v>
      </c>
      <c r="H62" s="10">
        <f>ια_Υπολογισμοί_Σεναρίων!$E$36</f>
        <v>3.96</v>
      </c>
      <c r="I62" s="58">
        <f>SUM('Απόδοση Εγκατάστασης'!$D$8:$D$19)*C62</f>
        <v>12000</v>
      </c>
      <c r="J62" s="58">
        <f>H62*ι_Μοντέλο_Ελέγχου_α!$B$14</f>
        <v>5722.5960000000005</v>
      </c>
      <c r="K62" s="58">
        <f>AnnualSelfConsumptionWithBattery(H62,ι_Μοντέλο_Ελέγχου_α!$B$22:$B$33,'Απόδοση Εγκατάστασης'!$D$8:$D$19,ι_Μοντέλο_Ελέγχου_α!$D$22:$D$33,G62,C62)</f>
        <v>5556.64</v>
      </c>
      <c r="L62" s="58">
        <f t="shared" si="12"/>
        <v>6443.36</v>
      </c>
      <c r="M62" s="58">
        <f t="shared" si="13"/>
        <v>165.95600000000013</v>
      </c>
      <c r="N62" s="65">
        <f>H62*ι_Μοντέλο_Ελέγχου_α!$B$7</f>
        <v>3651.2</v>
      </c>
      <c r="O62" s="65">
        <f>F62/2.5*ι_Μοντέλο_Ελέγχου_α!$B$18*(1-D62)</f>
        <v>600</v>
      </c>
      <c r="P62" s="65">
        <f t="shared" si="14"/>
        <v>4251.2</v>
      </c>
      <c r="Q62" s="65">
        <f>K62*ι_Μοντέλο_Ελέγχου_α!$B$8</f>
        <v>1111.3280000000002</v>
      </c>
      <c r="R62" s="65">
        <f>M62*ι_Μοντέλο_Ελέγχου_α!$B$9</f>
        <v>9.9573600000000067</v>
      </c>
      <c r="S62" s="65">
        <f t="shared" si="15"/>
        <v>1121.2853600000003</v>
      </c>
      <c r="T62" s="10">
        <f t="shared" si="16"/>
        <v>3.7913631548707625</v>
      </c>
      <c r="U62" s="58">
        <f>IFERROR(-LN(1-P62*ι_Μοντέλο_Ελέγχου_α!$B$10/S62)/LN(1+ι_Μοντέλο_Ελέγχου_α!$B$10),NA())</f>
        <v>3.9821120164131711</v>
      </c>
      <c r="V62" s="9"/>
    </row>
    <row r="63" spans="1:22" x14ac:dyDescent="0.25">
      <c r="A63" s="9">
        <v>52</v>
      </c>
      <c r="B63" s="64">
        <f t="shared" si="9"/>
        <v>0.6</v>
      </c>
      <c r="C63" s="64">
        <f t="shared" si="10"/>
        <v>1.6</v>
      </c>
      <c r="D63" s="64">
        <f t="shared" si="11"/>
        <v>0.5</v>
      </c>
      <c r="E63" s="9" t="s">
        <v>187</v>
      </c>
      <c r="F63" s="10">
        <f>ι_Μοντέλο_Ελέγχου_α!B41</f>
        <v>5</v>
      </c>
      <c r="G63" s="10">
        <f>ι_Μοντέλο_Ελέγχου_α!C41</f>
        <v>150</v>
      </c>
      <c r="H63" s="10">
        <f>ια_Υπολογισμοί_Σεναρίων!$E$85</f>
        <v>3.96</v>
      </c>
      <c r="I63" s="58">
        <f>SUM('Απόδοση Εγκατάστασης'!$D$8:$D$19)*C63</f>
        <v>12000</v>
      </c>
      <c r="J63" s="58">
        <f>H63*ι_Μοντέλο_Ελέγχου_α!$B$14</f>
        <v>5722.5960000000005</v>
      </c>
      <c r="K63" s="58">
        <f>AnnualSelfConsumptionWithBattery(H63,ι_Μοντέλο_Ελέγχου_α!$B$22:$B$33,'Απόδοση Εγκατάστασης'!$D$8:$D$19,ι_Μοντέλο_Ελέγχου_α!$D$22:$D$33,G63,C63)</f>
        <v>5722.5960000000005</v>
      </c>
      <c r="L63" s="58">
        <f t="shared" si="12"/>
        <v>6277.4039999999995</v>
      </c>
      <c r="M63" s="58">
        <f t="shared" si="13"/>
        <v>0</v>
      </c>
      <c r="N63" s="65">
        <f>H63*ι_Μοντέλο_Ελέγχου_α!$B$7</f>
        <v>3651.2</v>
      </c>
      <c r="O63" s="65">
        <f>F63/2.5*ι_Μοντέλο_Ελέγχου_α!$B$18*(1-D63)</f>
        <v>1200</v>
      </c>
      <c r="P63" s="65">
        <f t="shared" si="14"/>
        <v>4851.2</v>
      </c>
      <c r="Q63" s="65">
        <f>K63*ι_Μοντέλο_Ελέγχου_α!$B$8</f>
        <v>1144.5192000000002</v>
      </c>
      <c r="R63" s="65">
        <f>M63*ι_Μοντέλο_Ελέγχου_α!$B$9</f>
        <v>0</v>
      </c>
      <c r="S63" s="65">
        <f t="shared" si="15"/>
        <v>1144.5192000000002</v>
      </c>
      <c r="T63" s="10">
        <f t="shared" si="16"/>
        <v>4.2386357520258278</v>
      </c>
      <c r="U63" s="58">
        <f>IFERROR(-LN(1-P63*ι_Μοντέλο_Ελέγχου_α!$B$10/S63)/LN(1+ι_Μοντέλο_Ελέγχου_α!$B$10),NA())</f>
        <v>4.4732875271944854</v>
      </c>
      <c r="V63" s="9"/>
    </row>
    <row r="64" spans="1:22" x14ac:dyDescent="0.25">
      <c r="A64" s="9">
        <v>53</v>
      </c>
      <c r="B64" s="64">
        <f t="shared" si="9"/>
        <v>0.6</v>
      </c>
      <c r="C64" s="64">
        <f t="shared" si="10"/>
        <v>1.6</v>
      </c>
      <c r="D64" s="64">
        <f t="shared" si="11"/>
        <v>0.5</v>
      </c>
      <c r="E64" s="9" t="s">
        <v>188</v>
      </c>
      <c r="F64" s="10">
        <f>ι_Μοντέλο_Ελέγχου_α!B42</f>
        <v>7.5</v>
      </c>
      <c r="G64" s="10">
        <f>ι_Μοντέλο_Ελέγχου_α!C42</f>
        <v>225</v>
      </c>
      <c r="H64" s="10">
        <f>ια_Υπολογισμοί_Σεναρίων!$E$134</f>
        <v>3.96</v>
      </c>
      <c r="I64" s="58">
        <f>SUM('Απόδοση Εγκατάστασης'!$D$8:$D$19)*C64</f>
        <v>12000</v>
      </c>
      <c r="J64" s="58">
        <f>H64*ι_Μοντέλο_Ελέγχου_α!$B$14</f>
        <v>5722.5960000000005</v>
      </c>
      <c r="K64" s="58">
        <f>AnnualSelfConsumptionWithBattery(H64,ι_Μοντέλο_Ελέγχου_α!$B$22:$B$33,'Απόδοση Εγκατάστασης'!$D$8:$D$19,ι_Μοντέλο_Ελέγχου_α!$D$22:$D$33,G64,C64)</f>
        <v>5722.5960000000005</v>
      </c>
      <c r="L64" s="58">
        <f t="shared" si="12"/>
        <v>6277.4039999999995</v>
      </c>
      <c r="M64" s="58">
        <f t="shared" si="13"/>
        <v>0</v>
      </c>
      <c r="N64" s="65">
        <f>H64*ι_Μοντέλο_Ελέγχου_α!$B$7</f>
        <v>3651.2</v>
      </c>
      <c r="O64" s="65">
        <f>F64/2.5*ι_Μοντέλο_Ελέγχου_α!$B$18*(1-D64)</f>
        <v>1800</v>
      </c>
      <c r="P64" s="65">
        <f t="shared" si="14"/>
        <v>5451.2</v>
      </c>
      <c r="Q64" s="65">
        <f>K64*ι_Μοντέλο_Ελέγχου_α!$B$8</f>
        <v>1144.5192000000002</v>
      </c>
      <c r="R64" s="65">
        <f>M64*ι_Μοντέλο_Ελέγχου_α!$B$9</f>
        <v>0</v>
      </c>
      <c r="S64" s="65">
        <f t="shared" si="15"/>
        <v>1144.5192000000002</v>
      </c>
      <c r="T64" s="10">
        <f t="shared" si="16"/>
        <v>4.7628733532823206</v>
      </c>
      <c r="U64" s="58">
        <f>IFERROR(-LN(1-P64*ι_Μοντέλο_Ελέγχου_α!$B$10/S64)/LN(1+ι_Μοντέλο_Ελέγχου_α!$B$10),NA())</f>
        <v>5.0551307286789129</v>
      </c>
      <c r="V64" s="9"/>
    </row>
    <row r="65" spans="1:22" x14ac:dyDescent="0.25">
      <c r="A65" s="9">
        <v>54</v>
      </c>
      <c r="B65" s="64">
        <f t="shared" si="9"/>
        <v>0.6</v>
      </c>
      <c r="C65" s="64">
        <f t="shared" si="10"/>
        <v>1.6</v>
      </c>
      <c r="D65" s="64">
        <f t="shared" si="11"/>
        <v>0.5</v>
      </c>
      <c r="E65" s="9" t="s">
        <v>189</v>
      </c>
      <c r="F65" s="10">
        <f>ι_Μοντέλο_Ελέγχου_α!B43</f>
        <v>10</v>
      </c>
      <c r="G65" s="10">
        <f>ι_Μοντέλο_Ελέγχου_α!C43</f>
        <v>300</v>
      </c>
      <c r="H65" s="10">
        <f>ια_Υπολογισμοί_Σεναρίων!$E$183</f>
        <v>3.96</v>
      </c>
      <c r="I65" s="58">
        <f>SUM('Απόδοση Εγκατάστασης'!$D$8:$D$19)*C65</f>
        <v>12000</v>
      </c>
      <c r="J65" s="58">
        <f>H65*ι_Μοντέλο_Ελέγχου_α!$B$14</f>
        <v>5722.5960000000005</v>
      </c>
      <c r="K65" s="58">
        <f>AnnualSelfConsumptionWithBattery(H65,ι_Μοντέλο_Ελέγχου_α!$B$22:$B$33,'Απόδοση Εγκατάστασης'!$D$8:$D$19,ι_Μοντέλο_Ελέγχου_α!$D$22:$D$33,G65,C65)</f>
        <v>5722.5960000000005</v>
      </c>
      <c r="L65" s="58">
        <f t="shared" si="12"/>
        <v>6277.4039999999995</v>
      </c>
      <c r="M65" s="58">
        <f t="shared" si="13"/>
        <v>0</v>
      </c>
      <c r="N65" s="65">
        <f>H65*ι_Μοντέλο_Ελέγχου_α!$B$7</f>
        <v>3651.2</v>
      </c>
      <c r="O65" s="65">
        <f>F65/2.5*ι_Μοντέλο_Ελέγχου_α!$B$18*(1-D65)</f>
        <v>2400</v>
      </c>
      <c r="P65" s="65">
        <f t="shared" si="14"/>
        <v>6051.2</v>
      </c>
      <c r="Q65" s="65">
        <f>K65*ι_Μοντέλο_Ελέγχου_α!$B$8</f>
        <v>1144.5192000000002</v>
      </c>
      <c r="R65" s="65">
        <f>M65*ι_Μοντέλο_Ελέγχου_α!$B$9</f>
        <v>0</v>
      </c>
      <c r="S65" s="65">
        <f t="shared" si="15"/>
        <v>1144.5192000000002</v>
      </c>
      <c r="T65" s="10">
        <f t="shared" si="16"/>
        <v>5.2871109545388135</v>
      </c>
      <c r="U65" s="58">
        <f>IFERROR(-LN(1-P65*ι_Μοντέλο_Ελέγχου_α!$B$10/S65)/LN(1+ι_Μοντέλο_Ελέγχου_α!$B$10),NA())</f>
        <v>5.6437561624827257</v>
      </c>
      <c r="V65" s="9"/>
    </row>
    <row r="66" spans="1:22" x14ac:dyDescent="0.25">
      <c r="A66" s="9">
        <v>55</v>
      </c>
      <c r="B66" s="64">
        <f t="shared" si="9"/>
        <v>0.6</v>
      </c>
      <c r="C66" s="64">
        <f t="shared" si="10"/>
        <v>1.6</v>
      </c>
      <c r="D66" s="64">
        <f t="shared" si="11"/>
        <v>0.5</v>
      </c>
      <c r="E66" s="9" t="s">
        <v>190</v>
      </c>
      <c r="F66" s="10">
        <f>ι_Μοντέλο_Ελέγχου_α!B44</f>
        <v>0</v>
      </c>
      <c r="G66" s="10">
        <f>ι_Μοντέλο_Ελέγχου_α!C44</f>
        <v>0</v>
      </c>
      <c r="H66" s="10">
        <f>ια_Υπολογισμοί_Σεναρίων!$E$232</f>
        <v>5.94</v>
      </c>
      <c r="I66" s="58">
        <f>SUM('Απόδοση Εγκατάστασης'!$D$8:$D$19)*C66</f>
        <v>12000</v>
      </c>
      <c r="J66" s="58">
        <f>H66*ι_Μοντέλο_Ελέγχου_α!$B$14</f>
        <v>8583.8940000000021</v>
      </c>
      <c r="K66" s="58">
        <f>AnnualSelfConsumptionWithBattery(H66,ι_Μοντέλο_Ελέγχου_α!$B$22:$B$33,'Απόδοση Εγκατάστασης'!$D$8:$D$19,ι_Μοντέλο_Ελέγχου_α!$D$22:$D$33,G66,C66)</f>
        <v>6314.9080000000004</v>
      </c>
      <c r="L66" s="58">
        <f t="shared" si="12"/>
        <v>5685.0919999999996</v>
      </c>
      <c r="M66" s="58">
        <f t="shared" si="13"/>
        <v>2268.9860000000017</v>
      </c>
      <c r="N66" s="65">
        <f>H66*ι_Μοντέλο_Ελέγχου_α!$B$7</f>
        <v>5476.8</v>
      </c>
      <c r="O66" s="65">
        <f>F66/2.5*ι_Μοντέλο_Ελέγχου_α!$B$18*(1-D66)</f>
        <v>0</v>
      </c>
      <c r="P66" s="65">
        <f t="shared" si="14"/>
        <v>5476.8</v>
      </c>
      <c r="Q66" s="65">
        <f>K66*ι_Μοντέλο_Ελέγχου_α!$B$8</f>
        <v>1262.9816000000001</v>
      </c>
      <c r="R66" s="65">
        <f>M66*ι_Μοντέλο_Ελέγχου_α!$B$9</f>
        <v>136.13916000000009</v>
      </c>
      <c r="S66" s="65">
        <f t="shared" si="15"/>
        <v>1399.1207600000002</v>
      </c>
      <c r="T66" s="10">
        <f t="shared" si="16"/>
        <v>3.9144583917116629</v>
      </c>
      <c r="U66" s="58">
        <f>IFERROR(-LN(1-P66*ι_Μοντέλο_Ελέγχου_α!$B$10/S66)/LN(1+ι_Μοντέλο_Ελέγχου_α!$B$10),NA())</f>
        <v>4.1168141204388728</v>
      </c>
      <c r="V66" s="9"/>
    </row>
    <row r="67" spans="1:22" x14ac:dyDescent="0.25">
      <c r="A67" s="9">
        <v>56</v>
      </c>
      <c r="B67" s="64">
        <f t="shared" si="9"/>
        <v>0.6</v>
      </c>
      <c r="C67" s="64">
        <f t="shared" si="10"/>
        <v>1.6</v>
      </c>
      <c r="D67" s="64">
        <f t="shared" si="11"/>
        <v>0.8</v>
      </c>
      <c r="E67" s="9" t="s">
        <v>186</v>
      </c>
      <c r="F67" s="10">
        <f>ι_Μοντέλο_Ελέγχου_α!B40</f>
        <v>2.5</v>
      </c>
      <c r="G67" s="10">
        <f>ι_Μοντέλο_Ελέγχου_α!C40</f>
        <v>75</v>
      </c>
      <c r="H67" s="10">
        <f>ια_Υπολογισμοί_Σεναρίων!$E$36</f>
        <v>3.96</v>
      </c>
      <c r="I67" s="58">
        <f>SUM('Απόδοση Εγκατάστασης'!$D$8:$D$19)*C67</f>
        <v>12000</v>
      </c>
      <c r="J67" s="58">
        <f>H67*ι_Μοντέλο_Ελέγχου_α!$B$14</f>
        <v>5722.5960000000005</v>
      </c>
      <c r="K67" s="58">
        <f>AnnualSelfConsumptionWithBattery(H67,ι_Μοντέλο_Ελέγχου_α!$B$22:$B$33,'Απόδοση Εγκατάστασης'!$D$8:$D$19,ι_Μοντέλο_Ελέγχου_α!$D$22:$D$33,G67,C67)</f>
        <v>5556.64</v>
      </c>
      <c r="L67" s="58">
        <f t="shared" si="12"/>
        <v>6443.36</v>
      </c>
      <c r="M67" s="58">
        <f t="shared" si="13"/>
        <v>165.95600000000013</v>
      </c>
      <c r="N67" s="65">
        <f>H67*ι_Μοντέλο_Ελέγχου_α!$B$7</f>
        <v>3651.2</v>
      </c>
      <c r="O67" s="65">
        <f>F67/2.5*ι_Μοντέλο_Ελέγχου_α!$B$18*(1-D67)</f>
        <v>239.99999999999994</v>
      </c>
      <c r="P67" s="65">
        <f t="shared" si="14"/>
        <v>3891.2</v>
      </c>
      <c r="Q67" s="65">
        <f>K67*ι_Μοντέλο_Ελέγχου_α!$B$8</f>
        <v>1111.3280000000002</v>
      </c>
      <c r="R67" s="65">
        <f>M67*ι_Μοντέλο_Ελέγχου_α!$B$9</f>
        <v>9.9573600000000067</v>
      </c>
      <c r="S67" s="65">
        <f t="shared" si="15"/>
        <v>1121.2853600000003</v>
      </c>
      <c r="T67" s="10">
        <f t="shared" si="16"/>
        <v>3.470303045783099</v>
      </c>
      <c r="U67" s="58">
        <f>IFERROR(-LN(1-P67*ι_Μοντέλο_Ελέγχου_α!$B$10/S67)/LN(1+ι_Μοντέλο_Ελέγχου_α!$B$10),NA())</f>
        <v>3.6324600482892198</v>
      </c>
      <c r="V67" s="9"/>
    </row>
    <row r="68" spans="1:22" x14ac:dyDescent="0.25">
      <c r="A68" s="9">
        <v>57</v>
      </c>
      <c r="B68" s="64">
        <f t="shared" si="9"/>
        <v>0.6</v>
      </c>
      <c r="C68" s="64">
        <f t="shared" si="10"/>
        <v>1.6</v>
      </c>
      <c r="D68" s="64">
        <f t="shared" si="11"/>
        <v>0.8</v>
      </c>
      <c r="E68" s="9" t="s">
        <v>187</v>
      </c>
      <c r="F68" s="10">
        <f>ι_Μοντέλο_Ελέγχου_α!B41</f>
        <v>5</v>
      </c>
      <c r="G68" s="10">
        <f>ι_Μοντέλο_Ελέγχου_α!C41</f>
        <v>150</v>
      </c>
      <c r="H68" s="10">
        <f>ια_Υπολογισμοί_Σεναρίων!$E$85</f>
        <v>3.96</v>
      </c>
      <c r="I68" s="58">
        <f>SUM('Απόδοση Εγκατάστασης'!$D$8:$D$19)*C68</f>
        <v>12000</v>
      </c>
      <c r="J68" s="58">
        <f>H68*ι_Μοντέλο_Ελέγχου_α!$B$14</f>
        <v>5722.5960000000005</v>
      </c>
      <c r="K68" s="58">
        <f>AnnualSelfConsumptionWithBattery(H68,ι_Μοντέλο_Ελέγχου_α!$B$22:$B$33,'Απόδοση Εγκατάστασης'!$D$8:$D$19,ι_Μοντέλο_Ελέγχου_α!$D$22:$D$33,G68,C68)</f>
        <v>5722.5960000000005</v>
      </c>
      <c r="L68" s="58">
        <f t="shared" si="12"/>
        <v>6277.4039999999995</v>
      </c>
      <c r="M68" s="58">
        <f t="shared" si="13"/>
        <v>0</v>
      </c>
      <c r="N68" s="65">
        <f>H68*ι_Μοντέλο_Ελέγχου_α!$B$7</f>
        <v>3651.2</v>
      </c>
      <c r="O68" s="65">
        <f>F68/2.5*ι_Μοντέλο_Ελέγχου_α!$B$18*(1-D68)</f>
        <v>479.99999999999989</v>
      </c>
      <c r="P68" s="65">
        <f t="shared" si="14"/>
        <v>4131.2</v>
      </c>
      <c r="Q68" s="65">
        <f>K68*ι_Μοντέλο_Ελέγχου_α!$B$8</f>
        <v>1144.5192000000002</v>
      </c>
      <c r="R68" s="65">
        <f>M68*ι_Μοντέλο_Ελέγχου_α!$B$9</f>
        <v>0</v>
      </c>
      <c r="S68" s="65">
        <f t="shared" si="15"/>
        <v>1144.5192000000002</v>
      </c>
      <c r="T68" s="10">
        <f t="shared" si="16"/>
        <v>3.6095506305180369</v>
      </c>
      <c r="U68" s="58">
        <f>IFERROR(-LN(1-P68*ι_Μοντέλο_Ελέγχου_α!$B$10/S68)/LN(1+ι_Μοντέλο_Ελέγχου_α!$B$10),NA())</f>
        <v>3.7838110476930105</v>
      </c>
      <c r="V68" s="9"/>
    </row>
    <row r="69" spans="1:22" x14ac:dyDescent="0.25">
      <c r="A69" s="9">
        <v>58</v>
      </c>
      <c r="B69" s="64">
        <f t="shared" si="9"/>
        <v>0.6</v>
      </c>
      <c r="C69" s="64">
        <f t="shared" si="10"/>
        <v>1.6</v>
      </c>
      <c r="D69" s="64">
        <f t="shared" si="11"/>
        <v>0.8</v>
      </c>
      <c r="E69" s="9" t="s">
        <v>188</v>
      </c>
      <c r="F69" s="10">
        <f>ι_Μοντέλο_Ελέγχου_α!B42</f>
        <v>7.5</v>
      </c>
      <c r="G69" s="10">
        <f>ι_Μοντέλο_Ελέγχου_α!C42</f>
        <v>225</v>
      </c>
      <c r="H69" s="10">
        <f>ια_Υπολογισμοί_Σεναρίων!$E$134</f>
        <v>3.96</v>
      </c>
      <c r="I69" s="58">
        <f>SUM('Απόδοση Εγκατάστασης'!$D$8:$D$19)*C69</f>
        <v>12000</v>
      </c>
      <c r="J69" s="58">
        <f>H69*ι_Μοντέλο_Ελέγχου_α!$B$14</f>
        <v>5722.5960000000005</v>
      </c>
      <c r="K69" s="58">
        <f>AnnualSelfConsumptionWithBattery(H69,ι_Μοντέλο_Ελέγχου_α!$B$22:$B$33,'Απόδοση Εγκατάστασης'!$D$8:$D$19,ι_Μοντέλο_Ελέγχου_α!$D$22:$D$33,G69,C69)</f>
        <v>5722.5960000000005</v>
      </c>
      <c r="L69" s="58">
        <f t="shared" si="12"/>
        <v>6277.4039999999995</v>
      </c>
      <c r="M69" s="58">
        <f t="shared" si="13"/>
        <v>0</v>
      </c>
      <c r="N69" s="65">
        <f>H69*ι_Μοντέλο_Ελέγχου_α!$B$7</f>
        <v>3651.2</v>
      </c>
      <c r="O69" s="65">
        <f>F69/2.5*ι_Μοντέλο_Ελέγχου_α!$B$18*(1-D69)</f>
        <v>719.99999999999989</v>
      </c>
      <c r="P69" s="65">
        <f t="shared" si="14"/>
        <v>4371.2</v>
      </c>
      <c r="Q69" s="65">
        <f>K69*ι_Μοντέλο_Ελέγχου_α!$B$8</f>
        <v>1144.5192000000002</v>
      </c>
      <c r="R69" s="65">
        <f>M69*ι_Μοντέλο_Ελέγχου_α!$B$9</f>
        <v>0</v>
      </c>
      <c r="S69" s="65">
        <f t="shared" si="15"/>
        <v>1144.5192000000002</v>
      </c>
      <c r="T69" s="10">
        <f t="shared" si="16"/>
        <v>3.8192456710206337</v>
      </c>
      <c r="U69" s="58">
        <f>IFERROR(-LN(1-P69*ι_Μοντέλο_Ελέγχου_α!$B$10/S69)/LN(1+ι_Μοντέλο_Ελέγχου_α!$B$10),NA())</f>
        <v>4.0125921630721431</v>
      </c>
      <c r="V69" s="9"/>
    </row>
    <row r="70" spans="1:22" x14ac:dyDescent="0.25">
      <c r="A70" s="9">
        <v>59</v>
      </c>
      <c r="B70" s="64">
        <f t="shared" si="9"/>
        <v>0.6</v>
      </c>
      <c r="C70" s="64">
        <f t="shared" si="10"/>
        <v>1.6</v>
      </c>
      <c r="D70" s="64">
        <f t="shared" si="11"/>
        <v>0.8</v>
      </c>
      <c r="E70" s="9" t="s">
        <v>189</v>
      </c>
      <c r="F70" s="10">
        <f>ι_Μοντέλο_Ελέγχου_α!B43</f>
        <v>10</v>
      </c>
      <c r="G70" s="10">
        <f>ι_Μοντέλο_Ελέγχου_α!C43</f>
        <v>300</v>
      </c>
      <c r="H70" s="10">
        <f>ια_Υπολογισμοί_Σεναρίων!$E$183</f>
        <v>3.96</v>
      </c>
      <c r="I70" s="58">
        <f>SUM('Απόδοση Εγκατάστασης'!$D$8:$D$19)*C70</f>
        <v>12000</v>
      </c>
      <c r="J70" s="58">
        <f>H70*ι_Μοντέλο_Ελέγχου_α!$B$14</f>
        <v>5722.5960000000005</v>
      </c>
      <c r="K70" s="58">
        <f>AnnualSelfConsumptionWithBattery(H70,ι_Μοντέλο_Ελέγχου_α!$B$22:$B$33,'Απόδοση Εγκατάστασης'!$D$8:$D$19,ι_Μοντέλο_Ελέγχου_α!$D$22:$D$33,G70,C70)</f>
        <v>5722.5960000000005</v>
      </c>
      <c r="L70" s="58">
        <f t="shared" si="12"/>
        <v>6277.4039999999995</v>
      </c>
      <c r="M70" s="58">
        <f t="shared" si="13"/>
        <v>0</v>
      </c>
      <c r="N70" s="65">
        <f>H70*ι_Μοντέλο_Ελέγχου_α!$B$7</f>
        <v>3651.2</v>
      </c>
      <c r="O70" s="65">
        <f>F70/2.5*ι_Μοντέλο_Ελέγχου_α!$B$18*(1-D70)</f>
        <v>959.99999999999977</v>
      </c>
      <c r="P70" s="65">
        <f t="shared" si="14"/>
        <v>4611.2</v>
      </c>
      <c r="Q70" s="65">
        <f>K70*ι_Μοντέλο_Ελέγχου_α!$B$8</f>
        <v>1144.5192000000002</v>
      </c>
      <c r="R70" s="65">
        <f>M70*ι_Μοντέλο_Ελέγχου_α!$B$9</f>
        <v>0</v>
      </c>
      <c r="S70" s="65">
        <f t="shared" si="15"/>
        <v>1144.5192000000002</v>
      </c>
      <c r="T70" s="10">
        <f t="shared" si="16"/>
        <v>4.028940711523231</v>
      </c>
      <c r="U70" s="58">
        <f>IFERROR(-LN(1-P70*ι_Μοντέλο_Ελέγχου_α!$B$10/S70)/LN(1+ι_Μοντέλο_Ελέγχου_α!$B$10),NA())</f>
        <v>4.242414482712114</v>
      </c>
      <c r="V70" s="9"/>
    </row>
    <row r="71" spans="1:22" x14ac:dyDescent="0.25">
      <c r="A71" s="9">
        <v>60</v>
      </c>
      <c r="B71" s="64">
        <f t="shared" si="9"/>
        <v>0.6</v>
      </c>
      <c r="C71" s="64">
        <f t="shared" si="10"/>
        <v>1.6</v>
      </c>
      <c r="D71" s="64">
        <f t="shared" si="11"/>
        <v>0.8</v>
      </c>
      <c r="E71" s="9" t="s">
        <v>190</v>
      </c>
      <c r="F71" s="10">
        <f>ι_Μοντέλο_Ελέγχου_α!B44</f>
        <v>0</v>
      </c>
      <c r="G71" s="10">
        <f>ι_Μοντέλο_Ελέγχου_α!C44</f>
        <v>0</v>
      </c>
      <c r="H71" s="10">
        <f>ια_Υπολογισμοί_Σεναρίων!$E$232</f>
        <v>5.94</v>
      </c>
      <c r="I71" s="58">
        <f>SUM('Απόδοση Εγκατάστασης'!$D$8:$D$19)*C71</f>
        <v>12000</v>
      </c>
      <c r="J71" s="58">
        <f>H71*ι_Μοντέλο_Ελέγχου_α!$B$14</f>
        <v>8583.8940000000021</v>
      </c>
      <c r="K71" s="58">
        <f>AnnualSelfConsumptionWithBattery(H71,ι_Μοντέλο_Ελέγχου_α!$B$22:$B$33,'Απόδοση Εγκατάστασης'!$D$8:$D$19,ι_Μοντέλο_Ελέγχου_α!$D$22:$D$33,G71,C71)</f>
        <v>6314.9080000000004</v>
      </c>
      <c r="L71" s="58">
        <f t="shared" si="12"/>
        <v>5685.0919999999996</v>
      </c>
      <c r="M71" s="58">
        <f t="shared" si="13"/>
        <v>2268.9860000000017</v>
      </c>
      <c r="N71" s="65">
        <f>H71*ι_Μοντέλο_Ελέγχου_α!$B$7</f>
        <v>5476.8</v>
      </c>
      <c r="O71" s="65">
        <f>F71/2.5*ι_Μοντέλο_Ελέγχου_α!$B$18*(1-D71)</f>
        <v>0</v>
      </c>
      <c r="P71" s="65">
        <f t="shared" si="14"/>
        <v>5476.8</v>
      </c>
      <c r="Q71" s="65">
        <f>K71*ι_Μοντέλο_Ελέγχου_α!$B$8</f>
        <v>1262.9816000000001</v>
      </c>
      <c r="R71" s="65">
        <f>M71*ι_Μοντέλο_Ελέγχου_α!$B$9</f>
        <v>136.13916000000009</v>
      </c>
      <c r="S71" s="65">
        <f t="shared" si="15"/>
        <v>1399.1207600000002</v>
      </c>
      <c r="T71" s="10">
        <f t="shared" si="16"/>
        <v>3.9144583917116629</v>
      </c>
      <c r="U71" s="58">
        <f>IFERROR(-LN(1-P71*ι_Μοντέλο_Ελέγχου_α!$B$10/S71)/LN(1+ι_Μοντέλο_Ελέγχου_α!$B$10),NA())</f>
        <v>4.1168141204388728</v>
      </c>
      <c r="V71" s="9"/>
    </row>
    <row r="72" spans="1:22" x14ac:dyDescent="0.25">
      <c r="A72" s="9">
        <v>61</v>
      </c>
      <c r="B72" s="64">
        <f t="shared" si="9"/>
        <v>1.5</v>
      </c>
      <c r="C72" s="64">
        <f t="shared" si="10"/>
        <v>2.5</v>
      </c>
      <c r="D72" s="64">
        <f t="shared" si="11"/>
        <v>0</v>
      </c>
      <c r="E72" s="9" t="s">
        <v>186</v>
      </c>
      <c r="F72" s="10">
        <f>ι_Μοντέλο_Ελέγχου_α!B40</f>
        <v>2.5</v>
      </c>
      <c r="G72" s="10">
        <f>ι_Μοντέλο_Ελέγχου_α!C40</f>
        <v>75</v>
      </c>
      <c r="H72" s="10">
        <f>ια_Υπολογισμοί_Σεναρίων!$E$36</f>
        <v>3.96</v>
      </c>
      <c r="I72" s="58">
        <f>SUM('Απόδοση Εγκατάστασης'!$D$8:$D$19)*C72</f>
        <v>18750</v>
      </c>
      <c r="J72" s="58">
        <f>H72*ι_Μοντέλο_Ελέγχου_α!$B$14</f>
        <v>5722.5960000000005</v>
      </c>
      <c r="K72" s="58">
        <f>AnnualSelfConsumptionWithBattery(H72,ι_Μοντέλο_Ελέγχου_α!$B$22:$B$33,'Απόδοση Εγκατάστασης'!$D$8:$D$19,ι_Μοντέλο_Ελέγχου_α!$D$22:$D$33,G72,C72)</f>
        <v>5722.5960000000005</v>
      </c>
      <c r="L72" s="58">
        <f t="shared" si="12"/>
        <v>13027.403999999999</v>
      </c>
      <c r="M72" s="58">
        <f t="shared" si="13"/>
        <v>0</v>
      </c>
      <c r="N72" s="65">
        <f>H72*ι_Μοντέλο_Ελέγχου_α!$B$7</f>
        <v>3651.2</v>
      </c>
      <c r="O72" s="65">
        <f>F72/2.5*ι_Μοντέλο_Ελέγχου_α!$B$18*(1-D72)</f>
        <v>1200</v>
      </c>
      <c r="P72" s="65">
        <f t="shared" si="14"/>
        <v>4851.2</v>
      </c>
      <c r="Q72" s="65">
        <f>K72*ι_Μοντέλο_Ελέγχου_α!$B$8</f>
        <v>1144.5192000000002</v>
      </c>
      <c r="R72" s="65">
        <f>M72*ι_Μοντέλο_Ελέγχου_α!$B$9</f>
        <v>0</v>
      </c>
      <c r="S72" s="65">
        <f t="shared" si="15"/>
        <v>1144.5192000000002</v>
      </c>
      <c r="T72" s="10">
        <f t="shared" si="16"/>
        <v>4.2386357520258278</v>
      </c>
      <c r="U72" s="58">
        <f>IFERROR(-LN(1-P72*ι_Μοντέλο_Ελέγχου_α!$B$10/S72)/LN(1+ι_Μοντέλο_Ελέγχου_α!$B$10),NA())</f>
        <v>4.4732875271944854</v>
      </c>
      <c r="V72" s="9"/>
    </row>
    <row r="73" spans="1:22" x14ac:dyDescent="0.25">
      <c r="A73" s="9">
        <v>62</v>
      </c>
      <c r="B73" s="64">
        <f t="shared" si="9"/>
        <v>1.5</v>
      </c>
      <c r="C73" s="64">
        <f t="shared" si="10"/>
        <v>2.5</v>
      </c>
      <c r="D73" s="64">
        <f t="shared" si="11"/>
        <v>0</v>
      </c>
      <c r="E73" s="9" t="s">
        <v>187</v>
      </c>
      <c r="F73" s="10">
        <f>ι_Μοντέλο_Ελέγχου_α!B41</f>
        <v>5</v>
      </c>
      <c r="G73" s="10">
        <f>ι_Μοντέλο_Ελέγχου_α!C41</f>
        <v>150</v>
      </c>
      <c r="H73" s="10">
        <f>ια_Υπολογισμοί_Σεναρίων!$E$85</f>
        <v>3.96</v>
      </c>
      <c r="I73" s="58">
        <f>SUM('Απόδοση Εγκατάστασης'!$D$8:$D$19)*C73</f>
        <v>18750</v>
      </c>
      <c r="J73" s="58">
        <f>H73*ι_Μοντέλο_Ελέγχου_α!$B$14</f>
        <v>5722.5960000000005</v>
      </c>
      <c r="K73" s="58">
        <f>AnnualSelfConsumptionWithBattery(H73,ι_Μοντέλο_Ελέγχου_α!$B$22:$B$33,'Απόδοση Εγκατάστασης'!$D$8:$D$19,ι_Μοντέλο_Ελέγχου_α!$D$22:$D$33,G73,C73)</f>
        <v>5722.5960000000005</v>
      </c>
      <c r="L73" s="58">
        <f t="shared" si="12"/>
        <v>13027.403999999999</v>
      </c>
      <c r="M73" s="58">
        <f t="shared" si="13"/>
        <v>0</v>
      </c>
      <c r="N73" s="65">
        <f>H73*ι_Μοντέλο_Ελέγχου_α!$B$7</f>
        <v>3651.2</v>
      </c>
      <c r="O73" s="65">
        <f>F73/2.5*ι_Μοντέλο_Ελέγχου_α!$B$18*(1-D73)</f>
        <v>2400</v>
      </c>
      <c r="P73" s="65">
        <f t="shared" si="14"/>
        <v>6051.2</v>
      </c>
      <c r="Q73" s="65">
        <f>K73*ι_Μοντέλο_Ελέγχου_α!$B$8</f>
        <v>1144.5192000000002</v>
      </c>
      <c r="R73" s="65">
        <f>M73*ι_Μοντέλο_Ελέγχου_α!$B$9</f>
        <v>0</v>
      </c>
      <c r="S73" s="65">
        <f t="shared" si="15"/>
        <v>1144.5192000000002</v>
      </c>
      <c r="T73" s="10">
        <f t="shared" si="16"/>
        <v>5.2871109545388135</v>
      </c>
      <c r="U73" s="58">
        <f>IFERROR(-LN(1-P73*ι_Μοντέλο_Ελέγχου_α!$B$10/S73)/LN(1+ι_Μοντέλο_Ελέγχου_α!$B$10),NA())</f>
        <v>5.6437561624827257</v>
      </c>
      <c r="V73" s="9"/>
    </row>
    <row r="74" spans="1:22" x14ac:dyDescent="0.25">
      <c r="A74" s="9">
        <v>63</v>
      </c>
      <c r="B74" s="64">
        <f t="shared" si="9"/>
        <v>1.5</v>
      </c>
      <c r="C74" s="64">
        <f t="shared" si="10"/>
        <v>2.5</v>
      </c>
      <c r="D74" s="64">
        <f t="shared" si="11"/>
        <v>0</v>
      </c>
      <c r="E74" s="9" t="s">
        <v>188</v>
      </c>
      <c r="F74" s="10">
        <f>ι_Μοντέλο_Ελέγχου_α!B42</f>
        <v>7.5</v>
      </c>
      <c r="G74" s="10">
        <f>ι_Μοντέλο_Ελέγχου_α!C42</f>
        <v>225</v>
      </c>
      <c r="H74" s="10">
        <f>ια_Υπολογισμοί_Σεναρίων!$E$134</f>
        <v>3.96</v>
      </c>
      <c r="I74" s="58">
        <f>SUM('Απόδοση Εγκατάστασης'!$D$8:$D$19)*C74</f>
        <v>18750</v>
      </c>
      <c r="J74" s="58">
        <f>H74*ι_Μοντέλο_Ελέγχου_α!$B$14</f>
        <v>5722.5960000000005</v>
      </c>
      <c r="K74" s="58">
        <f>AnnualSelfConsumptionWithBattery(H74,ι_Μοντέλο_Ελέγχου_α!$B$22:$B$33,'Απόδοση Εγκατάστασης'!$D$8:$D$19,ι_Μοντέλο_Ελέγχου_α!$D$22:$D$33,G74,C74)</f>
        <v>5722.5960000000005</v>
      </c>
      <c r="L74" s="58">
        <f t="shared" si="12"/>
        <v>13027.403999999999</v>
      </c>
      <c r="M74" s="58">
        <f t="shared" si="13"/>
        <v>0</v>
      </c>
      <c r="N74" s="65">
        <f>H74*ι_Μοντέλο_Ελέγχου_α!$B$7</f>
        <v>3651.2</v>
      </c>
      <c r="O74" s="65">
        <f>F74/2.5*ι_Μοντέλο_Ελέγχου_α!$B$18*(1-D74)</f>
        <v>3600</v>
      </c>
      <c r="P74" s="65">
        <f t="shared" si="14"/>
        <v>7251.2</v>
      </c>
      <c r="Q74" s="65">
        <f>K74*ι_Μοντέλο_Ελέγχου_α!$B$8</f>
        <v>1144.5192000000002</v>
      </c>
      <c r="R74" s="65">
        <f>M74*ι_Μοντέλο_Ελέγχου_α!$B$9</f>
        <v>0</v>
      </c>
      <c r="S74" s="65">
        <f t="shared" si="15"/>
        <v>1144.5192000000002</v>
      </c>
      <c r="T74" s="10">
        <f t="shared" si="16"/>
        <v>6.3355861570517984</v>
      </c>
      <c r="U74" s="58">
        <f>IFERROR(-LN(1-P74*ι_Μοντέλο_Ελέγχου_α!$B$10/S74)/LN(1+ι_Μοντέλο_Ελέγχου_α!$B$10),NA())</f>
        <v>6.8419993762640408</v>
      </c>
      <c r="V74" s="9"/>
    </row>
    <row r="75" spans="1:22" x14ac:dyDescent="0.25">
      <c r="A75" s="9">
        <v>64</v>
      </c>
      <c r="B75" s="64">
        <f t="shared" si="9"/>
        <v>1.5</v>
      </c>
      <c r="C75" s="64">
        <f t="shared" si="10"/>
        <v>2.5</v>
      </c>
      <c r="D75" s="64">
        <f t="shared" si="11"/>
        <v>0</v>
      </c>
      <c r="E75" s="9" t="s">
        <v>189</v>
      </c>
      <c r="F75" s="10">
        <f>ι_Μοντέλο_Ελέγχου_α!B43</f>
        <v>10</v>
      </c>
      <c r="G75" s="10">
        <f>ι_Μοντέλο_Ελέγχου_α!C43</f>
        <v>300</v>
      </c>
      <c r="H75" s="10">
        <f>ια_Υπολογισμοί_Σεναρίων!$E$183</f>
        <v>3.96</v>
      </c>
      <c r="I75" s="58">
        <f>SUM('Απόδοση Εγκατάστασης'!$D$8:$D$19)*C75</f>
        <v>18750</v>
      </c>
      <c r="J75" s="58">
        <f>H75*ι_Μοντέλο_Ελέγχου_α!$B$14</f>
        <v>5722.5960000000005</v>
      </c>
      <c r="K75" s="58">
        <f>AnnualSelfConsumptionWithBattery(H75,ι_Μοντέλο_Ελέγχου_α!$B$22:$B$33,'Απόδοση Εγκατάστασης'!$D$8:$D$19,ι_Μοντέλο_Ελέγχου_α!$D$22:$D$33,G75,C75)</f>
        <v>5722.5960000000005</v>
      </c>
      <c r="L75" s="58">
        <f t="shared" si="12"/>
        <v>13027.403999999999</v>
      </c>
      <c r="M75" s="58">
        <f t="shared" si="13"/>
        <v>0</v>
      </c>
      <c r="N75" s="65">
        <f>H75*ι_Μοντέλο_Ελέγχου_α!$B$7</f>
        <v>3651.2</v>
      </c>
      <c r="O75" s="65">
        <f>F75/2.5*ι_Μοντέλο_Ελέγχου_α!$B$18*(1-D75)</f>
        <v>4800</v>
      </c>
      <c r="P75" s="65">
        <f t="shared" si="14"/>
        <v>8451.2000000000007</v>
      </c>
      <c r="Q75" s="65">
        <f>K75*ι_Μοντέλο_Ελέγχου_α!$B$8</f>
        <v>1144.5192000000002</v>
      </c>
      <c r="R75" s="65">
        <f>M75*ι_Μοντέλο_Ελέγχου_α!$B$9</f>
        <v>0</v>
      </c>
      <c r="S75" s="65">
        <f t="shared" si="15"/>
        <v>1144.5192000000002</v>
      </c>
      <c r="T75" s="10">
        <f t="shared" si="16"/>
        <v>7.3840613595647842</v>
      </c>
      <c r="U75" s="58">
        <f>IFERROR(-LN(1-P75*ι_Μοντέλο_Ελέγχου_α!$B$10/S75)/LN(1+ι_Μοντέλο_Ελέγχου_α!$B$10),NA())</f>
        <v>8.0693674252962957</v>
      </c>
      <c r="V75" s="9"/>
    </row>
    <row r="76" spans="1:22" x14ac:dyDescent="0.25">
      <c r="A76" s="9">
        <v>65</v>
      </c>
      <c r="B76" s="64">
        <f t="shared" ref="B76:B86" si="17">INDEX($A$5:$A$9,INT((ROW()-12)/15)+1)</f>
        <v>1.5</v>
      </c>
      <c r="C76" s="64">
        <f t="shared" ref="C76:C86" si="18">INDEX($B$5:$B$9,INT((ROW()-12)/15)+1)</f>
        <v>2.5</v>
      </c>
      <c r="D76" s="64">
        <f t="shared" ref="D76:D86" si="19">INDEX($D$5:$D$7,INT(MOD(ROW()-12,15)/5)+1)</f>
        <v>0</v>
      </c>
      <c r="E76" s="9" t="s">
        <v>190</v>
      </c>
      <c r="F76" s="10">
        <f>ι_Μοντέλο_Ελέγχου_α!B44</f>
        <v>0</v>
      </c>
      <c r="G76" s="10">
        <f>ι_Μοντέλο_Ελέγχου_α!C44</f>
        <v>0</v>
      </c>
      <c r="H76" s="10">
        <f>ια_Υπολογισμοί_Σεναρίων!$E$232</f>
        <v>5.94</v>
      </c>
      <c r="I76" s="58">
        <f>SUM('Απόδοση Εγκατάστασης'!$D$8:$D$19)*C76</f>
        <v>18750</v>
      </c>
      <c r="J76" s="58">
        <f>H76*ι_Μοντέλο_Ελέγχου_α!$B$14</f>
        <v>8583.8940000000021</v>
      </c>
      <c r="K76" s="58">
        <f>AnnualSelfConsumptionWithBattery(H76,ι_Μοντέλο_Ελέγχου_α!$B$22:$B$33,'Απόδοση Εγκατάστασης'!$D$8:$D$19,ι_Μοντέλο_Ελέγχου_α!$D$22:$D$33,G76,C76)</f>
        <v>8069.5300000000007</v>
      </c>
      <c r="L76" s="58">
        <f t="shared" ref="L76:L86" si="20">I76-K76</f>
        <v>10680.47</v>
      </c>
      <c r="M76" s="58">
        <f t="shared" ref="M76:M86" si="21">MAX(J76-K76,0)</f>
        <v>514.3640000000014</v>
      </c>
      <c r="N76" s="65">
        <f>H76*ι_Μοντέλο_Ελέγχου_α!$B$7</f>
        <v>5476.8</v>
      </c>
      <c r="O76" s="65">
        <f>F76/2.5*ι_Μοντέλο_Ελέγχου_α!$B$18*(1-D76)</f>
        <v>0</v>
      </c>
      <c r="P76" s="65">
        <f t="shared" ref="P76:P86" si="22">N76+O76</f>
        <v>5476.8</v>
      </c>
      <c r="Q76" s="65">
        <f>K76*ι_Μοντέλο_Ελέγχου_α!$B$8</f>
        <v>1613.9060000000002</v>
      </c>
      <c r="R76" s="65">
        <f>M76*ι_Μοντέλο_Ελέγχου_α!$B$9</f>
        <v>30.861840000000083</v>
      </c>
      <c r="S76" s="65">
        <f t="shared" ref="S76:S86" si="23">Q76+R76</f>
        <v>1644.7678400000002</v>
      </c>
      <c r="T76" s="10">
        <f t="shared" ref="T76:T86" si="24">IFERROR(P76/S76,NA())</f>
        <v>3.3298316435953659</v>
      </c>
      <c r="U76" s="58">
        <f>IFERROR(-LN(1-P76*ι_Μοντέλο_Ελέγχου_α!$B$10/S76)/LN(1+ι_Μοντέλο_Ελέγχου_α!$B$10),NA())</f>
        <v>3.480237094935966</v>
      </c>
      <c r="V76" s="9"/>
    </row>
    <row r="77" spans="1:22" x14ac:dyDescent="0.25">
      <c r="A77" s="9">
        <v>66</v>
      </c>
      <c r="B77" s="64">
        <f t="shared" si="17"/>
        <v>1.5</v>
      </c>
      <c r="C77" s="64">
        <f t="shared" si="18"/>
        <v>2.5</v>
      </c>
      <c r="D77" s="64">
        <f t="shared" si="19"/>
        <v>0.5</v>
      </c>
      <c r="E77" s="9" t="s">
        <v>186</v>
      </c>
      <c r="F77" s="10">
        <f>ι_Μοντέλο_Ελέγχου_α!B40</f>
        <v>2.5</v>
      </c>
      <c r="G77" s="10">
        <f>ι_Μοντέλο_Ελέγχου_α!C40</f>
        <v>75</v>
      </c>
      <c r="H77" s="10">
        <f>ια_Υπολογισμοί_Σεναρίων!$E$36</f>
        <v>3.96</v>
      </c>
      <c r="I77" s="58">
        <f>SUM('Απόδοση Εγκατάστασης'!$D$8:$D$19)*C77</f>
        <v>18750</v>
      </c>
      <c r="J77" s="58">
        <f>H77*ι_Μοντέλο_Ελέγχου_α!$B$14</f>
        <v>5722.5960000000005</v>
      </c>
      <c r="K77" s="58">
        <f>AnnualSelfConsumptionWithBattery(H77,ι_Μοντέλο_Ελέγχου_α!$B$22:$B$33,'Απόδοση Εγκατάστασης'!$D$8:$D$19,ι_Μοντέλο_Ελέγχου_α!$D$22:$D$33,G77,C77)</f>
        <v>5722.5960000000005</v>
      </c>
      <c r="L77" s="58">
        <f t="shared" si="20"/>
        <v>13027.403999999999</v>
      </c>
      <c r="M77" s="58">
        <f t="shared" si="21"/>
        <v>0</v>
      </c>
      <c r="N77" s="65">
        <f>H77*ι_Μοντέλο_Ελέγχου_α!$B$7</f>
        <v>3651.2</v>
      </c>
      <c r="O77" s="65">
        <f>F77/2.5*ι_Μοντέλο_Ελέγχου_α!$B$18*(1-D77)</f>
        <v>600</v>
      </c>
      <c r="P77" s="65">
        <f t="shared" si="22"/>
        <v>4251.2</v>
      </c>
      <c r="Q77" s="65">
        <f>K77*ι_Μοντέλο_Ελέγχου_α!$B$8</f>
        <v>1144.5192000000002</v>
      </c>
      <c r="R77" s="65">
        <f>M77*ι_Μοντέλο_Ελέγχου_α!$B$9</f>
        <v>0</v>
      </c>
      <c r="S77" s="65">
        <f t="shared" si="23"/>
        <v>1144.5192000000002</v>
      </c>
      <c r="T77" s="10">
        <f t="shared" si="24"/>
        <v>3.7143981507693353</v>
      </c>
      <c r="U77" s="58">
        <f>IFERROR(-LN(1-P77*ι_Μοντέλο_Ελέγχου_α!$B$10/S77)/LN(1+ι_Μοντέλο_Ελέγχου_α!$B$10),NA())</f>
        <v>3.8980720448271176</v>
      </c>
      <c r="V77" s="9"/>
    </row>
    <row r="78" spans="1:22" x14ac:dyDescent="0.25">
      <c r="A78" s="9">
        <v>67</v>
      </c>
      <c r="B78" s="64">
        <f t="shared" si="17"/>
        <v>1.5</v>
      </c>
      <c r="C78" s="64">
        <f t="shared" si="18"/>
        <v>2.5</v>
      </c>
      <c r="D78" s="64">
        <f t="shared" si="19"/>
        <v>0.5</v>
      </c>
      <c r="E78" s="9" t="s">
        <v>187</v>
      </c>
      <c r="F78" s="10">
        <f>ι_Μοντέλο_Ελέγχου_α!B41</f>
        <v>5</v>
      </c>
      <c r="G78" s="10">
        <f>ι_Μοντέλο_Ελέγχου_α!C41</f>
        <v>150</v>
      </c>
      <c r="H78" s="10">
        <f>ια_Υπολογισμοί_Σεναρίων!$E$85</f>
        <v>3.96</v>
      </c>
      <c r="I78" s="58">
        <f>SUM('Απόδοση Εγκατάστασης'!$D$8:$D$19)*C78</f>
        <v>18750</v>
      </c>
      <c r="J78" s="58">
        <f>H78*ι_Μοντέλο_Ελέγχου_α!$B$14</f>
        <v>5722.5960000000005</v>
      </c>
      <c r="K78" s="58">
        <f>AnnualSelfConsumptionWithBattery(H78,ι_Μοντέλο_Ελέγχου_α!$B$22:$B$33,'Απόδοση Εγκατάστασης'!$D$8:$D$19,ι_Μοντέλο_Ελέγχου_α!$D$22:$D$33,G78,C78)</f>
        <v>5722.5960000000005</v>
      </c>
      <c r="L78" s="58">
        <f t="shared" si="20"/>
        <v>13027.403999999999</v>
      </c>
      <c r="M78" s="58">
        <f t="shared" si="21"/>
        <v>0</v>
      </c>
      <c r="N78" s="65">
        <f>H78*ι_Μοντέλο_Ελέγχου_α!$B$7</f>
        <v>3651.2</v>
      </c>
      <c r="O78" s="65">
        <f>F78/2.5*ι_Μοντέλο_Ελέγχου_α!$B$18*(1-D78)</f>
        <v>1200</v>
      </c>
      <c r="P78" s="65">
        <f t="shared" si="22"/>
        <v>4851.2</v>
      </c>
      <c r="Q78" s="65">
        <f>K78*ι_Μοντέλο_Ελέγχου_α!$B$8</f>
        <v>1144.5192000000002</v>
      </c>
      <c r="R78" s="65">
        <f>M78*ι_Μοντέλο_Ελέγχου_α!$B$9</f>
        <v>0</v>
      </c>
      <c r="S78" s="65">
        <f t="shared" si="23"/>
        <v>1144.5192000000002</v>
      </c>
      <c r="T78" s="10">
        <f t="shared" si="24"/>
        <v>4.2386357520258278</v>
      </c>
      <c r="U78" s="58">
        <f>IFERROR(-LN(1-P78*ι_Μοντέλο_Ελέγχου_α!$B$10/S78)/LN(1+ι_Μοντέλο_Ελέγχου_α!$B$10),NA())</f>
        <v>4.4732875271944854</v>
      </c>
      <c r="V78" s="9"/>
    </row>
    <row r="79" spans="1:22" x14ac:dyDescent="0.25">
      <c r="A79" s="9">
        <v>68</v>
      </c>
      <c r="B79" s="64">
        <f t="shared" si="17"/>
        <v>1.5</v>
      </c>
      <c r="C79" s="64">
        <f t="shared" si="18"/>
        <v>2.5</v>
      </c>
      <c r="D79" s="64">
        <f t="shared" si="19"/>
        <v>0.5</v>
      </c>
      <c r="E79" s="9" t="s">
        <v>188</v>
      </c>
      <c r="F79" s="10">
        <f>ι_Μοντέλο_Ελέγχου_α!B42</f>
        <v>7.5</v>
      </c>
      <c r="G79" s="10">
        <f>ι_Μοντέλο_Ελέγχου_α!C42</f>
        <v>225</v>
      </c>
      <c r="H79" s="10">
        <f>ια_Υπολογισμοί_Σεναρίων!$E$134</f>
        <v>3.96</v>
      </c>
      <c r="I79" s="58">
        <f>SUM('Απόδοση Εγκατάστασης'!$D$8:$D$19)*C79</f>
        <v>18750</v>
      </c>
      <c r="J79" s="58">
        <f>H79*ι_Μοντέλο_Ελέγχου_α!$B$14</f>
        <v>5722.5960000000005</v>
      </c>
      <c r="K79" s="58">
        <f>AnnualSelfConsumptionWithBattery(H79,ι_Μοντέλο_Ελέγχου_α!$B$22:$B$33,'Απόδοση Εγκατάστασης'!$D$8:$D$19,ι_Μοντέλο_Ελέγχου_α!$D$22:$D$33,G79,C79)</f>
        <v>5722.5960000000005</v>
      </c>
      <c r="L79" s="58">
        <f t="shared" si="20"/>
        <v>13027.403999999999</v>
      </c>
      <c r="M79" s="58">
        <f t="shared" si="21"/>
        <v>0</v>
      </c>
      <c r="N79" s="65">
        <f>H79*ι_Μοντέλο_Ελέγχου_α!$B$7</f>
        <v>3651.2</v>
      </c>
      <c r="O79" s="65">
        <f>F79/2.5*ι_Μοντέλο_Ελέγχου_α!$B$18*(1-D79)</f>
        <v>1800</v>
      </c>
      <c r="P79" s="65">
        <f t="shared" si="22"/>
        <v>5451.2</v>
      </c>
      <c r="Q79" s="65">
        <f>K79*ι_Μοντέλο_Ελέγχου_α!$B$8</f>
        <v>1144.5192000000002</v>
      </c>
      <c r="R79" s="65">
        <f>M79*ι_Μοντέλο_Ελέγχου_α!$B$9</f>
        <v>0</v>
      </c>
      <c r="S79" s="65">
        <f t="shared" si="23"/>
        <v>1144.5192000000002</v>
      </c>
      <c r="T79" s="10">
        <f t="shared" si="24"/>
        <v>4.7628733532823206</v>
      </c>
      <c r="U79" s="58">
        <f>IFERROR(-LN(1-P79*ι_Μοντέλο_Ελέγχου_α!$B$10/S79)/LN(1+ι_Μοντέλο_Ελέγχου_α!$B$10),NA())</f>
        <v>5.0551307286789129</v>
      </c>
      <c r="V79" s="9"/>
    </row>
    <row r="80" spans="1:22" x14ac:dyDescent="0.25">
      <c r="A80" s="9">
        <v>69</v>
      </c>
      <c r="B80" s="64">
        <f t="shared" si="17"/>
        <v>1.5</v>
      </c>
      <c r="C80" s="64">
        <f t="shared" si="18"/>
        <v>2.5</v>
      </c>
      <c r="D80" s="64">
        <f t="shared" si="19"/>
        <v>0.5</v>
      </c>
      <c r="E80" s="9" t="s">
        <v>189</v>
      </c>
      <c r="F80" s="10">
        <f>ι_Μοντέλο_Ελέγχου_α!B43</f>
        <v>10</v>
      </c>
      <c r="G80" s="10">
        <f>ι_Μοντέλο_Ελέγχου_α!C43</f>
        <v>300</v>
      </c>
      <c r="H80" s="10">
        <f>ια_Υπολογισμοί_Σεναρίων!$E$183</f>
        <v>3.96</v>
      </c>
      <c r="I80" s="58">
        <f>SUM('Απόδοση Εγκατάστασης'!$D$8:$D$19)*C80</f>
        <v>18750</v>
      </c>
      <c r="J80" s="58">
        <f>H80*ι_Μοντέλο_Ελέγχου_α!$B$14</f>
        <v>5722.5960000000005</v>
      </c>
      <c r="K80" s="58">
        <f>AnnualSelfConsumptionWithBattery(H80,ι_Μοντέλο_Ελέγχου_α!$B$22:$B$33,'Απόδοση Εγκατάστασης'!$D$8:$D$19,ι_Μοντέλο_Ελέγχου_α!$D$22:$D$33,G80,C80)</f>
        <v>5722.5960000000005</v>
      </c>
      <c r="L80" s="58">
        <f t="shared" si="20"/>
        <v>13027.403999999999</v>
      </c>
      <c r="M80" s="58">
        <f t="shared" si="21"/>
        <v>0</v>
      </c>
      <c r="N80" s="65">
        <f>H80*ι_Μοντέλο_Ελέγχου_α!$B$7</f>
        <v>3651.2</v>
      </c>
      <c r="O80" s="65">
        <f>F80/2.5*ι_Μοντέλο_Ελέγχου_α!$B$18*(1-D80)</f>
        <v>2400</v>
      </c>
      <c r="P80" s="65">
        <f t="shared" si="22"/>
        <v>6051.2</v>
      </c>
      <c r="Q80" s="65">
        <f>K80*ι_Μοντέλο_Ελέγχου_α!$B$8</f>
        <v>1144.5192000000002</v>
      </c>
      <c r="R80" s="65">
        <f>M80*ι_Μοντέλο_Ελέγχου_α!$B$9</f>
        <v>0</v>
      </c>
      <c r="S80" s="65">
        <f t="shared" si="23"/>
        <v>1144.5192000000002</v>
      </c>
      <c r="T80" s="10">
        <f t="shared" si="24"/>
        <v>5.2871109545388135</v>
      </c>
      <c r="U80" s="58">
        <f>IFERROR(-LN(1-P80*ι_Μοντέλο_Ελέγχου_α!$B$10/S80)/LN(1+ι_Μοντέλο_Ελέγχου_α!$B$10),NA())</f>
        <v>5.6437561624827257</v>
      </c>
      <c r="V80" s="9"/>
    </row>
    <row r="81" spans="1:22" x14ac:dyDescent="0.25">
      <c r="A81" s="9">
        <v>70</v>
      </c>
      <c r="B81" s="64">
        <f t="shared" si="17"/>
        <v>1.5</v>
      </c>
      <c r="C81" s="64">
        <f t="shared" si="18"/>
        <v>2.5</v>
      </c>
      <c r="D81" s="64">
        <f t="shared" si="19"/>
        <v>0.5</v>
      </c>
      <c r="E81" s="9" t="s">
        <v>190</v>
      </c>
      <c r="F81" s="10">
        <f>ι_Μοντέλο_Ελέγχου_α!B44</f>
        <v>0</v>
      </c>
      <c r="G81" s="10">
        <f>ι_Μοντέλο_Ελέγχου_α!C44</f>
        <v>0</v>
      </c>
      <c r="H81" s="10">
        <f>ια_Υπολογισμοί_Σεναρίων!$E$232</f>
        <v>5.94</v>
      </c>
      <c r="I81" s="58">
        <f>SUM('Απόδοση Εγκατάστασης'!$D$8:$D$19)*C81</f>
        <v>18750</v>
      </c>
      <c r="J81" s="58">
        <f>H81*ι_Μοντέλο_Ελέγχου_α!$B$14</f>
        <v>8583.8940000000021</v>
      </c>
      <c r="K81" s="58">
        <f>AnnualSelfConsumptionWithBattery(H81,ι_Μοντέλο_Ελέγχου_α!$B$22:$B$33,'Απόδοση Εγκατάστασης'!$D$8:$D$19,ι_Μοντέλο_Ελέγχου_α!$D$22:$D$33,G81,C81)</f>
        <v>8069.5300000000007</v>
      </c>
      <c r="L81" s="58">
        <f t="shared" si="20"/>
        <v>10680.47</v>
      </c>
      <c r="M81" s="58">
        <f t="shared" si="21"/>
        <v>514.3640000000014</v>
      </c>
      <c r="N81" s="65">
        <f>H81*ι_Μοντέλο_Ελέγχου_α!$B$7</f>
        <v>5476.8</v>
      </c>
      <c r="O81" s="65">
        <f>F81/2.5*ι_Μοντέλο_Ελέγχου_α!$B$18*(1-D81)</f>
        <v>0</v>
      </c>
      <c r="P81" s="65">
        <f t="shared" si="22"/>
        <v>5476.8</v>
      </c>
      <c r="Q81" s="65">
        <f>K81*ι_Μοντέλο_Ελέγχου_α!$B$8</f>
        <v>1613.9060000000002</v>
      </c>
      <c r="R81" s="65">
        <f>M81*ι_Μοντέλο_Ελέγχου_α!$B$9</f>
        <v>30.861840000000083</v>
      </c>
      <c r="S81" s="65">
        <f t="shared" si="23"/>
        <v>1644.7678400000002</v>
      </c>
      <c r="T81" s="10">
        <f t="shared" si="24"/>
        <v>3.3298316435953659</v>
      </c>
      <c r="U81" s="58">
        <f>IFERROR(-LN(1-P81*ι_Μοντέλο_Ελέγχου_α!$B$10/S81)/LN(1+ι_Μοντέλο_Ελέγχου_α!$B$10),NA())</f>
        <v>3.480237094935966</v>
      </c>
      <c r="V81" s="9"/>
    </row>
    <row r="82" spans="1:22" x14ac:dyDescent="0.25">
      <c r="A82" s="9">
        <v>71</v>
      </c>
      <c r="B82" s="64">
        <f t="shared" si="17"/>
        <v>1.5</v>
      </c>
      <c r="C82" s="64">
        <f t="shared" si="18"/>
        <v>2.5</v>
      </c>
      <c r="D82" s="64">
        <f t="shared" si="19"/>
        <v>0.8</v>
      </c>
      <c r="E82" s="9" t="s">
        <v>186</v>
      </c>
      <c r="F82" s="10">
        <f>ι_Μοντέλο_Ελέγχου_α!B40</f>
        <v>2.5</v>
      </c>
      <c r="G82" s="10">
        <f>ι_Μοντέλο_Ελέγχου_α!C40</f>
        <v>75</v>
      </c>
      <c r="H82" s="10">
        <f>ια_Υπολογισμοί_Σεναρίων!$E$36</f>
        <v>3.96</v>
      </c>
      <c r="I82" s="58">
        <f>SUM('Απόδοση Εγκατάστασης'!$D$8:$D$19)*C82</f>
        <v>18750</v>
      </c>
      <c r="J82" s="58">
        <f>H82*ι_Μοντέλο_Ελέγχου_α!$B$14</f>
        <v>5722.5960000000005</v>
      </c>
      <c r="K82" s="58">
        <f>AnnualSelfConsumptionWithBattery(H82,ι_Μοντέλο_Ελέγχου_α!$B$22:$B$33,'Απόδοση Εγκατάστασης'!$D$8:$D$19,ι_Μοντέλο_Ελέγχου_α!$D$22:$D$33,G82,C82)</f>
        <v>5722.5960000000005</v>
      </c>
      <c r="L82" s="58">
        <f t="shared" si="20"/>
        <v>13027.403999999999</v>
      </c>
      <c r="M82" s="58">
        <f t="shared" si="21"/>
        <v>0</v>
      </c>
      <c r="N82" s="65">
        <f>H82*ι_Μοντέλο_Ελέγχου_α!$B$7</f>
        <v>3651.2</v>
      </c>
      <c r="O82" s="65">
        <f>F82/2.5*ι_Μοντέλο_Ελέγχου_α!$B$18*(1-D82)</f>
        <v>239.99999999999994</v>
      </c>
      <c r="P82" s="65">
        <f t="shared" si="22"/>
        <v>3891.2</v>
      </c>
      <c r="Q82" s="65">
        <f>K82*ι_Μοντέλο_Ελέγχου_α!$B$8</f>
        <v>1144.5192000000002</v>
      </c>
      <c r="R82" s="65">
        <f>M82*ι_Μοντέλο_Ελέγχου_α!$B$9</f>
        <v>0</v>
      </c>
      <c r="S82" s="65">
        <f t="shared" si="23"/>
        <v>1144.5192000000002</v>
      </c>
      <c r="T82" s="10">
        <f t="shared" si="24"/>
        <v>3.3998555900154397</v>
      </c>
      <c r="U82" s="58">
        <f>IFERROR(-LN(1-P82*ι_Μοντέλο_Ελέγχου_α!$B$10/S82)/LN(1+ι_Μοντέλο_Ελέγχου_α!$B$10),NA())</f>
        <v>3.556061744808241</v>
      </c>
      <c r="V82" s="9"/>
    </row>
    <row r="83" spans="1:22" x14ac:dyDescent="0.25">
      <c r="A83" s="9">
        <v>72</v>
      </c>
      <c r="B83" s="64">
        <f t="shared" si="17"/>
        <v>1.5</v>
      </c>
      <c r="C83" s="64">
        <f t="shared" si="18"/>
        <v>2.5</v>
      </c>
      <c r="D83" s="64">
        <f t="shared" si="19"/>
        <v>0.8</v>
      </c>
      <c r="E83" s="9" t="s">
        <v>187</v>
      </c>
      <c r="F83" s="10">
        <f>ι_Μοντέλο_Ελέγχου_α!B41</f>
        <v>5</v>
      </c>
      <c r="G83" s="10">
        <f>ι_Μοντέλο_Ελέγχου_α!C41</f>
        <v>150</v>
      </c>
      <c r="H83" s="10">
        <f>ια_Υπολογισμοί_Σεναρίων!$E$85</f>
        <v>3.96</v>
      </c>
      <c r="I83" s="58">
        <f>SUM('Απόδοση Εγκατάστασης'!$D$8:$D$19)*C83</f>
        <v>18750</v>
      </c>
      <c r="J83" s="58">
        <f>H83*ι_Μοντέλο_Ελέγχου_α!$B$14</f>
        <v>5722.5960000000005</v>
      </c>
      <c r="K83" s="58">
        <f>AnnualSelfConsumptionWithBattery(H83,ι_Μοντέλο_Ελέγχου_α!$B$22:$B$33,'Απόδοση Εγκατάστασης'!$D$8:$D$19,ι_Μοντέλο_Ελέγχου_α!$D$22:$D$33,G83,C83)</f>
        <v>5722.5960000000005</v>
      </c>
      <c r="L83" s="58">
        <f t="shared" si="20"/>
        <v>13027.403999999999</v>
      </c>
      <c r="M83" s="58">
        <f t="shared" si="21"/>
        <v>0</v>
      </c>
      <c r="N83" s="65">
        <f>H83*ι_Μοντέλο_Ελέγχου_α!$B$7</f>
        <v>3651.2</v>
      </c>
      <c r="O83" s="65">
        <f>F83/2.5*ι_Μοντέλο_Ελέγχου_α!$B$18*(1-D83)</f>
        <v>479.99999999999989</v>
      </c>
      <c r="P83" s="65">
        <f t="shared" si="22"/>
        <v>4131.2</v>
      </c>
      <c r="Q83" s="65">
        <f>K83*ι_Μοντέλο_Ελέγχου_α!$B$8</f>
        <v>1144.5192000000002</v>
      </c>
      <c r="R83" s="65">
        <f>M83*ι_Μοντέλο_Ελέγχου_α!$B$9</f>
        <v>0</v>
      </c>
      <c r="S83" s="65">
        <f t="shared" si="23"/>
        <v>1144.5192000000002</v>
      </c>
      <c r="T83" s="10">
        <f t="shared" si="24"/>
        <v>3.6095506305180369</v>
      </c>
      <c r="U83" s="58">
        <f>IFERROR(-LN(1-P83*ι_Μοντέλο_Ελέγχου_α!$B$10/S83)/LN(1+ι_Μοντέλο_Ελέγχου_α!$B$10),NA())</f>
        <v>3.7838110476930105</v>
      </c>
      <c r="V83" s="9"/>
    </row>
    <row r="84" spans="1:22" x14ac:dyDescent="0.25">
      <c r="A84" s="9">
        <v>73</v>
      </c>
      <c r="B84" s="64">
        <f t="shared" si="17"/>
        <v>1.5</v>
      </c>
      <c r="C84" s="64">
        <f t="shared" si="18"/>
        <v>2.5</v>
      </c>
      <c r="D84" s="64">
        <f t="shared" si="19"/>
        <v>0.8</v>
      </c>
      <c r="E84" s="9" t="s">
        <v>188</v>
      </c>
      <c r="F84" s="10">
        <f>ι_Μοντέλο_Ελέγχου_α!B42</f>
        <v>7.5</v>
      </c>
      <c r="G84" s="10">
        <f>ι_Μοντέλο_Ελέγχου_α!C42</f>
        <v>225</v>
      </c>
      <c r="H84" s="10">
        <f>ια_Υπολογισμοί_Σεναρίων!$E$134</f>
        <v>3.96</v>
      </c>
      <c r="I84" s="58">
        <f>SUM('Απόδοση Εγκατάστασης'!$D$8:$D$19)*C84</f>
        <v>18750</v>
      </c>
      <c r="J84" s="58">
        <f>H84*ι_Μοντέλο_Ελέγχου_α!$B$14</f>
        <v>5722.5960000000005</v>
      </c>
      <c r="K84" s="58">
        <f>AnnualSelfConsumptionWithBattery(H84,ι_Μοντέλο_Ελέγχου_α!$B$22:$B$33,'Απόδοση Εγκατάστασης'!$D$8:$D$19,ι_Μοντέλο_Ελέγχου_α!$D$22:$D$33,G84,C84)</f>
        <v>5722.5960000000005</v>
      </c>
      <c r="L84" s="58">
        <f t="shared" si="20"/>
        <v>13027.403999999999</v>
      </c>
      <c r="M84" s="58">
        <f t="shared" si="21"/>
        <v>0</v>
      </c>
      <c r="N84" s="65">
        <f>H84*ι_Μοντέλο_Ελέγχου_α!$B$7</f>
        <v>3651.2</v>
      </c>
      <c r="O84" s="65">
        <f>F84/2.5*ι_Μοντέλο_Ελέγχου_α!$B$18*(1-D84)</f>
        <v>719.99999999999989</v>
      </c>
      <c r="P84" s="65">
        <f t="shared" si="22"/>
        <v>4371.2</v>
      </c>
      <c r="Q84" s="65">
        <f>K84*ι_Μοντέλο_Ελέγχου_α!$B$8</f>
        <v>1144.5192000000002</v>
      </c>
      <c r="R84" s="65">
        <f>M84*ι_Μοντέλο_Ελέγχου_α!$B$9</f>
        <v>0</v>
      </c>
      <c r="S84" s="65">
        <f t="shared" si="23"/>
        <v>1144.5192000000002</v>
      </c>
      <c r="T84" s="10">
        <f t="shared" si="24"/>
        <v>3.8192456710206337</v>
      </c>
      <c r="U84" s="58">
        <f>IFERROR(-LN(1-P84*ι_Μοντέλο_Ελέγχου_α!$B$10/S84)/LN(1+ι_Μοντέλο_Ελέγχου_α!$B$10),NA())</f>
        <v>4.0125921630721431</v>
      </c>
      <c r="V84" s="9"/>
    </row>
    <row r="85" spans="1:22" x14ac:dyDescent="0.25">
      <c r="A85" s="9">
        <v>74</v>
      </c>
      <c r="B85" s="64">
        <f t="shared" si="17"/>
        <v>1.5</v>
      </c>
      <c r="C85" s="64">
        <f t="shared" si="18"/>
        <v>2.5</v>
      </c>
      <c r="D85" s="64">
        <f t="shared" si="19"/>
        <v>0.8</v>
      </c>
      <c r="E85" s="9" t="s">
        <v>189</v>
      </c>
      <c r="F85" s="10">
        <f>ι_Μοντέλο_Ελέγχου_α!B43</f>
        <v>10</v>
      </c>
      <c r="G85" s="10">
        <f>ι_Μοντέλο_Ελέγχου_α!C43</f>
        <v>300</v>
      </c>
      <c r="H85" s="10">
        <f>ια_Υπολογισμοί_Σεναρίων!$E$183</f>
        <v>3.96</v>
      </c>
      <c r="I85" s="58">
        <f>SUM('Απόδοση Εγκατάστασης'!$D$8:$D$19)*C85</f>
        <v>18750</v>
      </c>
      <c r="J85" s="58">
        <f>H85*ι_Μοντέλο_Ελέγχου_α!$B$14</f>
        <v>5722.5960000000005</v>
      </c>
      <c r="K85" s="58">
        <f>AnnualSelfConsumptionWithBattery(H85,ι_Μοντέλο_Ελέγχου_α!$B$22:$B$33,'Απόδοση Εγκατάστασης'!$D$8:$D$19,ι_Μοντέλο_Ελέγχου_α!$D$22:$D$33,G85,C85)</f>
        <v>5722.5960000000005</v>
      </c>
      <c r="L85" s="58">
        <f t="shared" si="20"/>
        <v>13027.403999999999</v>
      </c>
      <c r="M85" s="58">
        <f t="shared" si="21"/>
        <v>0</v>
      </c>
      <c r="N85" s="65">
        <f>H85*ι_Μοντέλο_Ελέγχου_α!$B$7</f>
        <v>3651.2</v>
      </c>
      <c r="O85" s="65">
        <f>F85/2.5*ι_Μοντέλο_Ελέγχου_α!$B$18*(1-D85)</f>
        <v>959.99999999999977</v>
      </c>
      <c r="P85" s="65">
        <f t="shared" si="22"/>
        <v>4611.2</v>
      </c>
      <c r="Q85" s="65">
        <f>K85*ι_Μοντέλο_Ελέγχου_α!$B$8</f>
        <v>1144.5192000000002</v>
      </c>
      <c r="R85" s="65">
        <f>M85*ι_Μοντέλο_Ελέγχου_α!$B$9</f>
        <v>0</v>
      </c>
      <c r="S85" s="65">
        <f t="shared" si="23"/>
        <v>1144.5192000000002</v>
      </c>
      <c r="T85" s="10">
        <f t="shared" si="24"/>
        <v>4.028940711523231</v>
      </c>
      <c r="U85" s="58">
        <f>IFERROR(-LN(1-P85*ι_Μοντέλο_Ελέγχου_α!$B$10/S85)/LN(1+ι_Μοντέλο_Ελέγχου_α!$B$10),NA())</f>
        <v>4.242414482712114</v>
      </c>
      <c r="V85" s="9"/>
    </row>
    <row r="86" spans="1:22" x14ac:dyDescent="0.25">
      <c r="A86" s="9">
        <v>75</v>
      </c>
      <c r="B86" s="64">
        <f t="shared" si="17"/>
        <v>1.5</v>
      </c>
      <c r="C86" s="64">
        <f t="shared" si="18"/>
        <v>2.5</v>
      </c>
      <c r="D86" s="64">
        <f t="shared" si="19"/>
        <v>0.8</v>
      </c>
      <c r="E86" s="9" t="s">
        <v>190</v>
      </c>
      <c r="F86" s="10">
        <f>ι_Μοντέλο_Ελέγχου_α!B44</f>
        <v>0</v>
      </c>
      <c r="G86" s="10">
        <f>ι_Μοντέλο_Ελέγχου_α!C44</f>
        <v>0</v>
      </c>
      <c r="H86" s="10">
        <f>ια_Υπολογισμοί_Σεναρίων!$E$232</f>
        <v>5.94</v>
      </c>
      <c r="I86" s="58">
        <f>SUM('Απόδοση Εγκατάστασης'!$D$8:$D$19)*C86</f>
        <v>18750</v>
      </c>
      <c r="J86" s="58">
        <f>H86*ι_Μοντέλο_Ελέγχου_α!$B$14</f>
        <v>8583.8940000000021</v>
      </c>
      <c r="K86" s="58">
        <f>AnnualSelfConsumptionWithBattery(H86,ι_Μοντέλο_Ελέγχου_α!$B$22:$B$33,'Απόδοση Εγκατάστασης'!$D$8:$D$19,ι_Μοντέλο_Ελέγχου_α!$D$22:$D$33,G86,C86)</f>
        <v>8069.5300000000007</v>
      </c>
      <c r="L86" s="58">
        <f t="shared" si="20"/>
        <v>10680.47</v>
      </c>
      <c r="M86" s="58">
        <f t="shared" si="21"/>
        <v>514.3640000000014</v>
      </c>
      <c r="N86" s="65">
        <f>H86*ι_Μοντέλο_Ελέγχου_α!$B$7</f>
        <v>5476.8</v>
      </c>
      <c r="O86" s="65">
        <f>F86/2.5*ι_Μοντέλο_Ελέγχου_α!$B$18*(1-D86)</f>
        <v>0</v>
      </c>
      <c r="P86" s="65">
        <f t="shared" si="22"/>
        <v>5476.8</v>
      </c>
      <c r="Q86" s="65">
        <f>K86*ι_Μοντέλο_Ελέγχου_α!$B$8</f>
        <v>1613.9060000000002</v>
      </c>
      <c r="R86" s="65">
        <f>M86*ι_Μοντέλο_Ελέγχου_α!$B$9</f>
        <v>30.861840000000083</v>
      </c>
      <c r="S86" s="65">
        <f t="shared" si="23"/>
        <v>1644.7678400000002</v>
      </c>
      <c r="T86" s="10">
        <f t="shared" si="24"/>
        <v>3.3298316435953659</v>
      </c>
      <c r="U86" s="58">
        <f>IFERROR(-LN(1-P86*ι_Μοντέλο_Ελέγχου_α!$B$10/S86)/LN(1+ι_Μοντέλο_Ελέγχου_α!$B$10),NA())</f>
        <v>3.480237094935966</v>
      </c>
      <c r="V86" s="9"/>
    </row>
    <row r="87" spans="1:22" ht="15.75" thickBot="1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30.75" customHeight="1" thickBot="1" x14ac:dyDescent="0.3">
      <c r="A88" s="267" t="s">
        <v>492</v>
      </c>
      <c r="B88" s="261"/>
      <c r="C88" s="261"/>
      <c r="D88" s="262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11.25" customHeight="1" x14ac:dyDescent="0.25">
      <c r="A89" s="298" t="s">
        <v>212</v>
      </c>
      <c r="B89" s="299"/>
      <c r="C89" s="299"/>
      <c r="D89" s="299"/>
      <c r="E89" s="299"/>
      <c r="F89" s="29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1.5" customHeight="1" x14ac:dyDescent="0.25">
      <c r="A90" s="59" t="s">
        <v>207</v>
      </c>
      <c r="B90" s="59" t="s">
        <v>190</v>
      </c>
      <c r="C90" s="60" t="str">
        <f>"2,5 kWh - "&amp;TEXT($D$5,"0%")&amp;" επιδ."</f>
        <v>2,5 kWh - 0% επιδ.</v>
      </c>
      <c r="D90" s="60" t="str">
        <f>"2,5 kWh - "&amp;TEXT($D$7,"0%")&amp;" επιδ."</f>
        <v>2,5 kWh - 80% επιδ.</v>
      </c>
      <c r="E90" s="60" t="str">
        <f>"10 kWh - "&amp;TEXT($D$5,"0%")&amp;" επιδ."</f>
        <v>10 kWh - 0% επιδ.</v>
      </c>
      <c r="F90" s="60" t="str">
        <f>"10 kWh - "&amp;TEXT($D$7,"0%")&amp;" επιδ."</f>
        <v>10 kWh - 80% επιδ.</v>
      </c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x14ac:dyDescent="0.25">
      <c r="A91" s="61">
        <f>$A$5</f>
        <v>0</v>
      </c>
      <c r="B91" s="62">
        <f>IFERROR(SUMIFS($U$12:$U$86,$B$12:$B$86,$A91,$D$12:$D$86,$D$5,$E$12:$E$86,B$90),NA())</f>
        <v>5.2533973365172866</v>
      </c>
      <c r="C91" s="62">
        <f>IFERROR(SUMIFS($U$12:$U$86,$B$12:$B$86,$A91,$D$12:$D$86,$D$5,$E$12:$E$86,"Μπαταρία 2.5 kWh"),NA())</f>
        <v>5.2387997912579234</v>
      </c>
      <c r="D91" s="62">
        <f>IFERROR(SUMIFS($U$12:$U$86,$B$12:$B$86,$A91,$D$12:$D$86,$D$7,$E$12:$E$86,"Μπαταρία 2.5 kWh"),NA())</f>
        <v>4.1580620318566393</v>
      </c>
      <c r="E91" s="62">
        <f>IFERROR(SUMIFS($U$12:$U$86,$B$12:$B$86,$A91,$D$12:$D$86,$D$5,$E$12:$E$86,"Μπαταρία 10 kWh"),NA())</f>
        <v>8.8636689590204565</v>
      </c>
      <c r="F91" s="62">
        <f>IFERROR(SUMIFS($U$12:$U$86,$B$12:$B$86,$A91,$D$12:$D$86,$D$7,$E$12:$E$86,"Μπαταρία 10 kWh"),NA())</f>
        <v>4.6426145880648333</v>
      </c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x14ac:dyDescent="0.25">
      <c r="A92" s="61">
        <f>$A$6</f>
        <v>0.2</v>
      </c>
      <c r="B92" s="62">
        <f>IFERROR(SUMIFS($U$12:$U$86,$B$12:$B$86,$A92,$D$12:$D$86,$D$5,$E$12:$E$86,B$90),NA())</f>
        <v>4.7321456773008785</v>
      </c>
      <c r="C92" s="62">
        <f>IFERROR(SUMIFS($U$12:$U$86,$B$12:$B$86,$A92,$D$12:$D$86,$D$5,$E$12:$E$86,"Μπαταρία 2.5 kWh"),NA())</f>
        <v>4.9392200337837648</v>
      </c>
      <c r="D92" s="62">
        <f>IFERROR(SUMIFS($U$12:$U$86,$B$12:$B$86,$A92,$D$12:$D$86,$D$7,$E$12:$E$86,"Μπαταρία 2.5 kWh"),NA())</f>
        <v>3.9227041691370719</v>
      </c>
      <c r="E92" s="62">
        <f>IFERROR(SUMIFS($U$12:$U$86,$B$12:$B$86,$A92,$D$12:$D$86,$D$5,$E$12:$E$86,"Μπαταρία 10 kWh"),NA())</f>
        <v>8.3198346608631599</v>
      </c>
      <c r="F92" s="62">
        <f>IFERROR(SUMIFS($U$12:$U$86,$B$12:$B$86,$A92,$D$12:$D$86,$D$7,$E$12:$E$86,"Μπαταρία 10 kWh"),NA())</f>
        <v>4.368946796641473</v>
      </c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x14ac:dyDescent="0.25">
      <c r="A93" s="61">
        <f>$A$7</f>
        <v>0.4</v>
      </c>
      <c r="B93" s="62">
        <f>IFERROR(SUMIFS($U$12:$U$86,$B$12:$B$86,$A93,$D$12:$D$86,$D$5,$E$12:$E$86,B$90),NA())</f>
        <v>4.3597066457750859</v>
      </c>
      <c r="C93" s="62">
        <f>IFERROR(SUMIFS($U$12:$U$86,$B$12:$B$86,$A93,$D$12:$D$86,$D$5,$E$12:$E$86,"Μπαταρία 2.5 kWh"),NA())</f>
        <v>4.6898164628023151</v>
      </c>
      <c r="D93" s="62">
        <f>IFERROR(SUMIFS($U$12:$U$86,$B$12:$B$86,$A93,$D$12:$D$86,$D$7,$E$12:$E$86,"Μπαταρία 2.5 kWh"),NA())</f>
        <v>3.7265380843879803</v>
      </c>
      <c r="E93" s="62">
        <f>IFERROR(SUMIFS($U$12:$U$86,$B$12:$B$86,$A93,$D$12:$D$86,$D$5,$E$12:$E$86,"Μπαταρία 10 kWh"),NA())</f>
        <v>8.1063505362512078</v>
      </c>
      <c r="F93" s="62">
        <f>IFERROR(SUMIFS($U$12:$U$86,$B$12:$B$86,$A93,$D$12:$D$86,$D$7,$E$12:$E$86,"Μπαταρία 10 kWh"),NA())</f>
        <v>4.2611173403447973</v>
      </c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x14ac:dyDescent="0.25">
      <c r="A94" s="61">
        <f>$A$8</f>
        <v>0.6</v>
      </c>
      <c r="B94" s="62">
        <f>IFERROR(SUMIFS($U$12:$U$86,$B$12:$B$86,$A94,$D$12:$D$86,$D$5,$E$12:$E$86,B$90),NA())</f>
        <v>4.1168141204388728</v>
      </c>
      <c r="C94" s="62">
        <f>IFERROR(SUMIFS($U$12:$U$86,$B$12:$B$86,$A94,$D$12:$D$86,$D$5,$E$12:$E$86,"Μπαταρία 2.5 kWh"),NA())</f>
        <v>4.5702997055038157</v>
      </c>
      <c r="D94" s="62">
        <f>IFERROR(SUMIFS($U$12:$U$86,$B$12:$B$86,$A94,$D$12:$D$86,$D$7,$E$12:$E$86,"Μπαταρία 2.5 kWh"),NA())</f>
        <v>3.6324600482892198</v>
      </c>
      <c r="E94" s="62">
        <f>IFERROR(SUMIFS($U$12:$U$86,$B$12:$B$86,$A94,$D$12:$D$86,$D$5,$E$12:$E$86,"Μπαταρία 10 kWh"),NA())</f>
        <v>8.0693674252962957</v>
      </c>
      <c r="F94" s="62">
        <f>IFERROR(SUMIFS($U$12:$U$86,$B$12:$B$86,$A94,$D$12:$D$86,$D$7,$E$12:$E$86,"Μπαταρία 10 kWh"),NA())</f>
        <v>4.242414482712114</v>
      </c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18" customHeight="1" x14ac:dyDescent="0.25">
      <c r="A95" s="61">
        <f>$A$9</f>
        <v>1.5</v>
      </c>
      <c r="B95" s="62">
        <f>IFERROR(SUMIFS($U$12:$U$86,$B$12:$B$86,$A95,$D$12:$D$86,$D$5,$E$12:$E$86,B$90),NA())</f>
        <v>3.480237094935966</v>
      </c>
      <c r="C95" s="62">
        <f>IFERROR(SUMIFS($U$12:$U$86,$B$12:$B$86,$A95,$D$12:$D$86,$D$5,$E$12:$E$86,"Μπαταρία 2.5 kWh"),NA())</f>
        <v>4.4732875271944854</v>
      </c>
      <c r="D95" s="62">
        <f>IFERROR(SUMIFS($U$12:$U$86,$B$12:$B$86,$A95,$D$12:$D$86,$D$7,$E$12:$E$86,"Μπαταρία 2.5 kWh"),NA())</f>
        <v>3.556061744808241</v>
      </c>
      <c r="E95" s="62">
        <f>IFERROR(SUMIFS($U$12:$U$86,$B$12:$B$86,$A95,$D$12:$D$86,$D$5,$E$12:$E$86,"Μπαταρία 10 kWh"),NA())</f>
        <v>8.0693674252962957</v>
      </c>
      <c r="F95" s="62">
        <f>IFERROR(SUMIFS($U$12:$U$86,$B$12:$B$86,$A95,$D$12:$D$86,$D$7,$E$12:$E$86,"Μπαταρία 10 kWh"),NA())</f>
        <v>4.242414482712114</v>
      </c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9" spans="1:22" ht="15.75" thickBot="1" x14ac:dyDescent="0.3"/>
    <row r="100" spans="1:22" ht="30.75" customHeight="1" thickBot="1" x14ac:dyDescent="0.3">
      <c r="A100" s="267" t="s">
        <v>493</v>
      </c>
      <c r="B100" s="261"/>
      <c r="C100" s="261"/>
      <c r="D100" s="262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</sheetData>
  <sheetProtection sheet="1" objects="1" scenarios="1"/>
  <mergeCells count="3">
    <mergeCell ref="A2:U2"/>
    <mergeCell ref="A1:U1"/>
    <mergeCell ref="A89:F89"/>
  </mergeCells>
  <pageMargins left="0.7" right="0.7" top="0.75" bottom="0.75" header="0.3" footer="0.3"/>
  <pageSetup paperSize="9" fitToHeight="0" orientation="landscape" verticalDpi="0" r:id="rId1"/>
  <drawing r:id="rId2"/>
  <tableParts count="1">
    <tablePart r:id="rId3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9">
    <pageSetUpPr fitToPage="1"/>
  </sheetPr>
  <dimension ref="A1:L21"/>
  <sheetViews>
    <sheetView workbookViewId="0">
      <selection activeCell="O17" sqref="O17"/>
    </sheetView>
  </sheetViews>
  <sheetFormatPr defaultRowHeight="15" x14ac:dyDescent="0.25"/>
  <cols>
    <col min="1" max="1" width="13.42578125" bestFit="1" customWidth="1"/>
    <col min="2" max="2" width="9" bestFit="1" customWidth="1"/>
    <col min="3" max="3" width="10.140625" bestFit="1" customWidth="1"/>
    <col min="4" max="4" width="13.140625" customWidth="1"/>
    <col min="5" max="5" width="13.7109375" bestFit="1" customWidth="1"/>
    <col min="6" max="6" width="15.42578125" bestFit="1" customWidth="1"/>
    <col min="7" max="7" width="14.7109375" bestFit="1" customWidth="1"/>
    <col min="8" max="8" width="13.140625" bestFit="1" customWidth="1"/>
    <col min="9" max="9" width="13.42578125" bestFit="1" customWidth="1"/>
    <col min="10" max="10" width="10.140625" bestFit="1" customWidth="1"/>
    <col min="11" max="11" width="14" bestFit="1" customWidth="1"/>
  </cols>
  <sheetData>
    <row r="1" spans="1:12" s="3" customFormat="1" ht="26.25" customHeight="1" x14ac:dyDescent="0.25">
      <c r="A1" s="294" t="s">
        <v>239</v>
      </c>
      <c r="B1" s="291"/>
      <c r="C1" s="291"/>
      <c r="D1" s="291"/>
      <c r="E1" s="291"/>
      <c r="F1" s="291"/>
      <c r="G1" s="291"/>
      <c r="H1" s="291"/>
      <c r="I1" s="291"/>
      <c r="J1" s="292"/>
      <c r="K1" s="9"/>
      <c r="L1" s="9"/>
    </row>
    <row r="2" spans="1:12" s="3" customFormat="1" ht="18.75" customHeight="1" x14ac:dyDescent="0.25">
      <c r="A2" s="290" t="s">
        <v>214</v>
      </c>
      <c r="B2" s="291"/>
      <c r="C2" s="291"/>
      <c r="D2" s="291"/>
      <c r="E2" s="291"/>
      <c r="F2" s="291"/>
      <c r="G2" s="291"/>
      <c r="H2" s="291"/>
      <c r="I2" s="292"/>
      <c r="J2" s="75">
        <v>0.2</v>
      </c>
      <c r="K2" s="9"/>
      <c r="L2" s="9"/>
    </row>
    <row r="3" spans="1:12" s="3" customFormat="1" ht="18.75" customHeight="1" x14ac:dyDescent="0.25">
      <c r="A3" s="290" t="s">
        <v>215</v>
      </c>
      <c r="B3" s="291"/>
      <c r="C3" s="291"/>
      <c r="D3" s="291"/>
      <c r="E3" s="291"/>
      <c r="F3" s="291"/>
      <c r="G3" s="291"/>
      <c r="H3" s="291"/>
      <c r="I3" s="292"/>
      <c r="J3" s="96">
        <v>0.06</v>
      </c>
      <c r="K3" s="9"/>
      <c r="L3" s="9"/>
    </row>
    <row r="4" spans="1:12" s="3" customFormat="1" ht="18.75" customHeight="1" x14ac:dyDescent="0.25">
      <c r="A4" s="290" t="s">
        <v>240</v>
      </c>
      <c r="B4" s="291"/>
      <c r="C4" s="291"/>
      <c r="D4" s="291"/>
      <c r="E4" s="291"/>
      <c r="F4" s="291"/>
      <c r="G4" s="291"/>
      <c r="H4" s="291"/>
      <c r="I4" s="292"/>
      <c r="J4" s="97">
        <f>'Σύνολική Τιμή ΦΒ'!G9</f>
        <v>9900</v>
      </c>
      <c r="K4" s="9"/>
      <c r="L4" s="9"/>
    </row>
    <row r="5" spans="1:12" s="3" customFormat="1" ht="31.5" customHeight="1" x14ac:dyDescent="0.25">
      <c r="A5" s="73"/>
      <c r="B5" s="293" t="s">
        <v>219</v>
      </c>
      <c r="C5" s="292"/>
      <c r="D5" s="295" t="s">
        <v>246</v>
      </c>
      <c r="E5" s="291"/>
      <c r="F5" s="291"/>
      <c r="G5" s="291"/>
      <c r="H5" s="291"/>
      <c r="I5" s="291"/>
      <c r="J5" s="292"/>
      <c r="K5" s="9"/>
      <c r="L5" s="9"/>
    </row>
    <row r="6" spans="1:12" s="3" customFormat="1" ht="30" customHeight="1" x14ac:dyDescent="0.25">
      <c r="A6" s="79">
        <v>1</v>
      </c>
      <c r="B6" s="67">
        <v>2</v>
      </c>
      <c r="C6" s="67">
        <v>3</v>
      </c>
      <c r="D6" s="80">
        <v>4</v>
      </c>
      <c r="E6" s="80">
        <v>5</v>
      </c>
      <c r="F6" s="80">
        <v>6</v>
      </c>
      <c r="G6" s="80">
        <v>7</v>
      </c>
      <c r="H6" s="80">
        <v>8</v>
      </c>
      <c r="I6" s="80">
        <v>9</v>
      </c>
      <c r="J6" s="80">
        <v>10</v>
      </c>
      <c r="K6" s="9"/>
      <c r="L6" s="9"/>
    </row>
    <row r="7" spans="1:12" s="3" customFormat="1" ht="60" customHeight="1" x14ac:dyDescent="0.25">
      <c r="A7" s="68" t="s">
        <v>222</v>
      </c>
      <c r="B7" s="66" t="s">
        <v>223</v>
      </c>
      <c r="C7" s="66" t="s">
        <v>224</v>
      </c>
      <c r="D7" s="69" t="s">
        <v>225</v>
      </c>
      <c r="E7" s="69" t="s">
        <v>247</v>
      </c>
      <c r="F7" s="69" t="s">
        <v>248</v>
      </c>
      <c r="G7" s="69" t="s">
        <v>249</v>
      </c>
      <c r="H7" s="70" t="s">
        <v>250</v>
      </c>
      <c r="I7" s="69" t="s">
        <v>233</v>
      </c>
      <c r="J7" s="69" t="s">
        <v>234</v>
      </c>
      <c r="K7" s="9"/>
      <c r="L7" s="9"/>
    </row>
    <row r="8" spans="1:12" x14ac:dyDescent="0.25">
      <c r="A8" s="71" t="s">
        <v>251</v>
      </c>
      <c r="B8" s="72">
        <v>83</v>
      </c>
      <c r="C8" s="72">
        <f t="shared" ref="C8:C19" si="0">B8*J$4/1000</f>
        <v>821.7</v>
      </c>
      <c r="D8" s="98">
        <v>800</v>
      </c>
      <c r="E8" s="82">
        <v>0.4</v>
      </c>
      <c r="F8" s="99">
        <f t="shared" ref="F8:F19" si="1">E8*D8</f>
        <v>320</v>
      </c>
      <c r="G8" s="99">
        <f t="shared" ref="G8:G19" si="2">F8*J$2</f>
        <v>64</v>
      </c>
      <c r="H8" s="83">
        <f t="shared" ref="H8:H19" si="3">C8-F8</f>
        <v>501.70000000000005</v>
      </c>
      <c r="I8" s="83">
        <f t="shared" ref="I8:I19" si="4">H8*J$3</f>
        <v>30.102</v>
      </c>
      <c r="J8" s="83">
        <f t="shared" ref="J8:J19" si="5">I8+G8</f>
        <v>94.102000000000004</v>
      </c>
      <c r="K8" s="9"/>
      <c r="L8" s="9"/>
    </row>
    <row r="9" spans="1:12" x14ac:dyDescent="0.25">
      <c r="A9" s="71" t="s">
        <v>252</v>
      </c>
      <c r="B9" s="72">
        <v>87.1</v>
      </c>
      <c r="C9" s="72">
        <f t="shared" si="0"/>
        <v>862.29</v>
      </c>
      <c r="D9" s="98">
        <v>800</v>
      </c>
      <c r="E9" s="82">
        <v>0.5</v>
      </c>
      <c r="F9" s="99">
        <f t="shared" si="1"/>
        <v>400</v>
      </c>
      <c r="G9" s="99">
        <f t="shared" si="2"/>
        <v>80</v>
      </c>
      <c r="H9" s="83">
        <f t="shared" si="3"/>
        <v>462.28999999999996</v>
      </c>
      <c r="I9" s="83">
        <f t="shared" si="4"/>
        <v>27.737399999999997</v>
      </c>
      <c r="J9" s="83">
        <f t="shared" si="5"/>
        <v>107.73739999999999</v>
      </c>
      <c r="K9" s="9"/>
      <c r="L9" s="9"/>
    </row>
    <row r="10" spans="1:12" x14ac:dyDescent="0.25">
      <c r="A10" s="71" t="s">
        <v>253</v>
      </c>
      <c r="B10" s="72">
        <v>117.4</v>
      </c>
      <c r="C10" s="72">
        <f t="shared" si="0"/>
        <v>1162.26</v>
      </c>
      <c r="D10" s="98">
        <v>800</v>
      </c>
      <c r="E10" s="82">
        <v>0.6</v>
      </c>
      <c r="F10" s="99">
        <f t="shared" si="1"/>
        <v>480</v>
      </c>
      <c r="G10" s="99">
        <f t="shared" si="2"/>
        <v>96</v>
      </c>
      <c r="H10" s="83">
        <f t="shared" si="3"/>
        <v>682.26</v>
      </c>
      <c r="I10" s="83">
        <f t="shared" si="4"/>
        <v>40.935600000000001</v>
      </c>
      <c r="J10" s="83">
        <f t="shared" si="5"/>
        <v>136.93559999999999</v>
      </c>
      <c r="K10" s="9"/>
      <c r="L10" s="9"/>
    </row>
    <row r="11" spans="1:12" x14ac:dyDescent="0.25">
      <c r="A11" s="71" t="s">
        <v>254</v>
      </c>
      <c r="B11" s="72">
        <v>134.5</v>
      </c>
      <c r="C11" s="72">
        <f t="shared" si="0"/>
        <v>1331.55</v>
      </c>
      <c r="D11" s="98">
        <v>450</v>
      </c>
      <c r="E11" s="82">
        <v>0.7</v>
      </c>
      <c r="F11" s="99">
        <f t="shared" si="1"/>
        <v>315</v>
      </c>
      <c r="G11" s="99">
        <f t="shared" si="2"/>
        <v>63</v>
      </c>
      <c r="H11" s="83">
        <f t="shared" si="3"/>
        <v>1016.55</v>
      </c>
      <c r="I11" s="83">
        <f t="shared" si="4"/>
        <v>60.992999999999995</v>
      </c>
      <c r="J11" s="83">
        <f t="shared" si="5"/>
        <v>123.99299999999999</v>
      </c>
      <c r="K11" s="9"/>
      <c r="L11" s="9"/>
    </row>
    <row r="12" spans="1:12" x14ac:dyDescent="0.25">
      <c r="A12" s="71" t="s">
        <v>255</v>
      </c>
      <c r="B12" s="72">
        <v>150.1</v>
      </c>
      <c r="C12" s="72">
        <f t="shared" si="0"/>
        <v>1485.99</v>
      </c>
      <c r="D12" s="98">
        <v>400</v>
      </c>
      <c r="E12" s="82">
        <v>0.7</v>
      </c>
      <c r="F12" s="99">
        <f t="shared" si="1"/>
        <v>280</v>
      </c>
      <c r="G12" s="99">
        <f t="shared" si="2"/>
        <v>56</v>
      </c>
      <c r="H12" s="83">
        <f t="shared" si="3"/>
        <v>1205.99</v>
      </c>
      <c r="I12" s="83">
        <f t="shared" si="4"/>
        <v>72.359399999999994</v>
      </c>
      <c r="J12" s="83">
        <f t="shared" si="5"/>
        <v>128.35939999999999</v>
      </c>
      <c r="K12" s="9"/>
      <c r="L12" s="9"/>
    </row>
    <row r="13" spans="1:12" x14ac:dyDescent="0.25">
      <c r="A13" s="71" t="s">
        <v>256</v>
      </c>
      <c r="B13" s="72">
        <v>156.1</v>
      </c>
      <c r="C13" s="72">
        <f t="shared" si="0"/>
        <v>1545.39</v>
      </c>
      <c r="D13" s="98">
        <v>450</v>
      </c>
      <c r="E13" s="82">
        <v>0.7</v>
      </c>
      <c r="F13" s="99">
        <f t="shared" si="1"/>
        <v>315</v>
      </c>
      <c r="G13" s="99">
        <f t="shared" si="2"/>
        <v>63</v>
      </c>
      <c r="H13" s="83">
        <f t="shared" si="3"/>
        <v>1230.3900000000001</v>
      </c>
      <c r="I13" s="83">
        <f t="shared" si="4"/>
        <v>73.823400000000007</v>
      </c>
      <c r="J13" s="83">
        <f t="shared" si="5"/>
        <v>136.82339999999999</v>
      </c>
      <c r="K13" s="9"/>
      <c r="L13" s="9"/>
    </row>
    <row r="14" spans="1:12" x14ac:dyDescent="0.25">
      <c r="A14" s="71" t="s">
        <v>257</v>
      </c>
      <c r="B14" s="72">
        <v>170.3</v>
      </c>
      <c r="C14" s="72">
        <f t="shared" si="0"/>
        <v>1685.97</v>
      </c>
      <c r="D14" s="98">
        <v>600</v>
      </c>
      <c r="E14" s="82">
        <v>0.7</v>
      </c>
      <c r="F14" s="99">
        <f t="shared" si="1"/>
        <v>420</v>
      </c>
      <c r="G14" s="99">
        <f t="shared" si="2"/>
        <v>84</v>
      </c>
      <c r="H14" s="83">
        <f t="shared" si="3"/>
        <v>1265.97</v>
      </c>
      <c r="I14" s="83">
        <f t="shared" si="4"/>
        <v>75.958200000000005</v>
      </c>
      <c r="J14" s="83">
        <f t="shared" si="5"/>
        <v>159.95820000000001</v>
      </c>
      <c r="K14" s="9"/>
      <c r="L14" s="9"/>
    </row>
    <row r="15" spans="1:12" x14ac:dyDescent="0.25">
      <c r="A15" s="71" t="s">
        <v>258</v>
      </c>
      <c r="B15" s="72">
        <v>162</v>
      </c>
      <c r="C15" s="72">
        <f t="shared" si="0"/>
        <v>1603.8</v>
      </c>
      <c r="D15" s="98">
        <v>600</v>
      </c>
      <c r="E15" s="82">
        <v>0.7</v>
      </c>
      <c r="F15" s="99">
        <f t="shared" si="1"/>
        <v>420</v>
      </c>
      <c r="G15" s="99">
        <f t="shared" si="2"/>
        <v>84</v>
      </c>
      <c r="H15" s="83">
        <f t="shared" si="3"/>
        <v>1183.8</v>
      </c>
      <c r="I15" s="83">
        <f t="shared" si="4"/>
        <v>71.027999999999992</v>
      </c>
      <c r="J15" s="83">
        <f t="shared" si="5"/>
        <v>155.02799999999999</v>
      </c>
      <c r="K15" s="9"/>
      <c r="L15" s="9"/>
    </row>
    <row r="16" spans="1:12" x14ac:dyDescent="0.25">
      <c r="A16" s="71" t="s">
        <v>259</v>
      </c>
      <c r="B16" s="72">
        <v>129.9</v>
      </c>
      <c r="C16" s="72">
        <f t="shared" si="0"/>
        <v>1286.01</v>
      </c>
      <c r="D16" s="98">
        <v>400</v>
      </c>
      <c r="E16" s="82">
        <v>0.6</v>
      </c>
      <c r="F16" s="99">
        <f t="shared" si="1"/>
        <v>240</v>
      </c>
      <c r="G16" s="99">
        <f t="shared" si="2"/>
        <v>48</v>
      </c>
      <c r="H16" s="83">
        <f t="shared" si="3"/>
        <v>1046.01</v>
      </c>
      <c r="I16" s="83">
        <f t="shared" si="4"/>
        <v>62.760599999999997</v>
      </c>
      <c r="J16" s="83">
        <f t="shared" si="5"/>
        <v>110.7606</v>
      </c>
      <c r="K16" s="9"/>
      <c r="L16" s="9"/>
    </row>
    <row r="17" spans="1:12" x14ac:dyDescent="0.25">
      <c r="A17" s="71" t="s">
        <v>260</v>
      </c>
      <c r="B17" s="72">
        <v>104</v>
      </c>
      <c r="C17" s="72">
        <f t="shared" si="0"/>
        <v>1029.5999999999999</v>
      </c>
      <c r="D17" s="98">
        <v>600</v>
      </c>
      <c r="E17" s="82">
        <v>0.55000000000000004</v>
      </c>
      <c r="F17" s="99">
        <f t="shared" si="1"/>
        <v>330</v>
      </c>
      <c r="G17" s="99">
        <f t="shared" si="2"/>
        <v>66</v>
      </c>
      <c r="H17" s="83">
        <f t="shared" si="3"/>
        <v>699.59999999999991</v>
      </c>
      <c r="I17" s="83">
        <f t="shared" si="4"/>
        <v>41.975999999999992</v>
      </c>
      <c r="J17" s="83">
        <f t="shared" si="5"/>
        <v>107.976</v>
      </c>
      <c r="K17" s="100"/>
      <c r="L17" s="100"/>
    </row>
    <row r="18" spans="1:12" x14ac:dyDescent="0.25">
      <c r="A18" s="71" t="s">
        <v>261</v>
      </c>
      <c r="B18" s="72">
        <v>77.400000000000006</v>
      </c>
      <c r="C18" s="72">
        <f t="shared" si="0"/>
        <v>766.26</v>
      </c>
      <c r="D18" s="98">
        <v>800</v>
      </c>
      <c r="E18" s="82">
        <v>0.5</v>
      </c>
      <c r="F18" s="99">
        <f t="shared" si="1"/>
        <v>400</v>
      </c>
      <c r="G18" s="99">
        <f t="shared" si="2"/>
        <v>80</v>
      </c>
      <c r="H18" s="83">
        <f t="shared" si="3"/>
        <v>366.26</v>
      </c>
      <c r="I18" s="83">
        <f t="shared" si="4"/>
        <v>21.9756</v>
      </c>
      <c r="J18" s="83">
        <f t="shared" si="5"/>
        <v>101.9756</v>
      </c>
      <c r="K18" s="9"/>
      <c r="L18" s="9"/>
    </row>
    <row r="19" spans="1:12" x14ac:dyDescent="0.25">
      <c r="A19" s="71" t="s">
        <v>262</v>
      </c>
      <c r="B19" s="72">
        <v>73.3</v>
      </c>
      <c r="C19" s="72">
        <f t="shared" si="0"/>
        <v>725.67</v>
      </c>
      <c r="D19" s="98">
        <v>800</v>
      </c>
      <c r="E19" s="82">
        <v>0.4</v>
      </c>
      <c r="F19" s="99">
        <f t="shared" si="1"/>
        <v>320</v>
      </c>
      <c r="G19" s="99">
        <f t="shared" si="2"/>
        <v>64</v>
      </c>
      <c r="H19" s="83">
        <f t="shared" si="3"/>
        <v>405.66999999999996</v>
      </c>
      <c r="I19" s="83">
        <f t="shared" si="4"/>
        <v>24.340199999999996</v>
      </c>
      <c r="J19" s="83">
        <f t="shared" si="5"/>
        <v>88.340199999999996</v>
      </c>
      <c r="K19" s="9"/>
      <c r="L19" s="9"/>
    </row>
    <row r="20" spans="1:12" x14ac:dyDescent="0.25">
      <c r="A20" s="71"/>
      <c r="B20" s="101"/>
      <c r="C20" s="71"/>
      <c r="D20" s="71"/>
      <c r="E20" s="71"/>
      <c r="F20" s="71"/>
      <c r="G20" s="71"/>
      <c r="H20" s="71"/>
      <c r="I20" s="71"/>
      <c r="J20" s="71"/>
      <c r="K20" s="9"/>
      <c r="L20" s="9"/>
    </row>
    <row r="21" spans="1:12" ht="31.5" customHeight="1" x14ac:dyDescent="0.25">
      <c r="A21" s="84" t="s">
        <v>235</v>
      </c>
      <c r="B21" s="85">
        <f>SUM(B8:B20)</f>
        <v>1445.1000000000001</v>
      </c>
      <c r="C21" s="86">
        <f>SUM(C8:C20)</f>
        <v>14306.49</v>
      </c>
      <c r="D21" s="87">
        <f>SUM(D8:D19)</f>
        <v>7500</v>
      </c>
      <c r="E21" s="87"/>
      <c r="F21" s="87">
        <f>SUM(F8:F20)</f>
        <v>4240</v>
      </c>
      <c r="G21" s="87">
        <f>SUM(G8:G20)</f>
        <v>848</v>
      </c>
      <c r="H21" s="87"/>
      <c r="I21" s="87">
        <f>SUM(I8:I20)</f>
        <v>603.98939999999993</v>
      </c>
      <c r="J21" s="87">
        <f>SUM(J8:J20)</f>
        <v>1451.9894000000002</v>
      </c>
      <c r="K21" s="9"/>
      <c r="L21" s="9"/>
    </row>
  </sheetData>
  <sheetProtection sheet="1" objects="1" scenarios="1"/>
  <mergeCells count="6">
    <mergeCell ref="A1:J1"/>
    <mergeCell ref="A2:I2"/>
    <mergeCell ref="B5:C5"/>
    <mergeCell ref="A3:I3"/>
    <mergeCell ref="A4:I4"/>
    <mergeCell ref="D5:J5"/>
  </mergeCells>
  <pageMargins left="0.70866141732283472" right="0.70866141732283472" top="0.74803149606299213" bottom="0.74803149606299213" header="0.31496062992125978" footer="0.31496062992125978"/>
  <pageSetup paperSize="9" fitToHeight="0" orientation="landscape" r:id="rId1"/>
  <headerFooter>
    <oddFooter>&amp;L&amp;F&amp;R&amp;P/&amp;N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8">
    <pageSetUpPr fitToPage="1"/>
  </sheetPr>
  <dimension ref="A2:W29"/>
  <sheetViews>
    <sheetView zoomScale="70" zoomScaleNormal="70" workbookViewId="0">
      <selection activeCell="L7" sqref="L7"/>
    </sheetView>
  </sheetViews>
  <sheetFormatPr defaultRowHeight="15" x14ac:dyDescent="0.25"/>
  <cols>
    <col min="1" max="1" width="7.28515625" customWidth="1"/>
    <col min="2" max="2" width="9.85546875" style="1" bestFit="1" customWidth="1"/>
    <col min="3" max="3" width="9.140625" style="1" customWidth="1"/>
    <col min="4" max="4" width="11.42578125" customWidth="1"/>
    <col min="5" max="5" width="12.5703125" customWidth="1"/>
    <col min="6" max="6" width="9" bestFit="1" customWidth="1"/>
    <col min="7" max="7" width="4.7109375" bestFit="1" customWidth="1"/>
    <col min="8" max="8" width="12" bestFit="1" customWidth="1"/>
    <col min="9" max="9" width="8" bestFit="1" customWidth="1"/>
    <col min="10" max="10" width="4.5703125" bestFit="1" customWidth="1"/>
    <col min="11" max="11" width="60" customWidth="1"/>
    <col min="12" max="12" width="8.7109375" bestFit="1" customWidth="1"/>
    <col min="13" max="13" width="11.42578125" bestFit="1" customWidth="1"/>
    <col min="20" max="20" width="11" bestFit="1" customWidth="1"/>
    <col min="21" max="21" width="12" bestFit="1" customWidth="1"/>
    <col min="22" max="22" width="3.28515625" bestFit="1" customWidth="1"/>
  </cols>
  <sheetData>
    <row r="2" spans="1:23" ht="59.25" customHeight="1" x14ac:dyDescent="0.25">
      <c r="A2" s="104" t="s">
        <v>263</v>
      </c>
      <c r="B2" s="102" t="s">
        <v>264</v>
      </c>
      <c r="C2" s="102" t="s">
        <v>265</v>
      </c>
      <c r="D2" s="102" t="s">
        <v>266</v>
      </c>
      <c r="E2" s="102" t="s">
        <v>267</v>
      </c>
      <c r="F2" s="105" t="s">
        <v>268</v>
      </c>
      <c r="G2" s="9"/>
      <c r="H2" s="9"/>
      <c r="I2" s="9"/>
      <c r="J2" s="123" t="s">
        <v>24</v>
      </c>
      <c r="K2" s="123" t="s">
        <v>269</v>
      </c>
      <c r="L2" s="123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x14ac:dyDescent="0.25">
      <c r="A3" s="106">
        <v>0</v>
      </c>
      <c r="B3" s="107">
        <f>E3</f>
        <v>-9128</v>
      </c>
      <c r="C3" s="108"/>
      <c r="D3" s="109"/>
      <c r="E3" s="107">
        <f>C3-L$3</f>
        <v>-9128</v>
      </c>
      <c r="F3" s="110"/>
      <c r="G3" s="9"/>
      <c r="H3" s="9"/>
      <c r="I3" s="9"/>
      <c r="J3" s="111">
        <v>1</v>
      </c>
      <c r="K3" s="103" t="s">
        <v>270</v>
      </c>
      <c r="L3" s="112">
        <f>'Σύνολική Τιμή ΦΒ'!J56</f>
        <v>9128</v>
      </c>
      <c r="M3" s="9"/>
      <c r="N3" s="9"/>
      <c r="O3" s="9"/>
      <c r="P3" s="9"/>
      <c r="Q3" s="9"/>
      <c r="R3" s="9"/>
      <c r="S3" s="9"/>
      <c r="T3" s="63"/>
      <c r="U3" s="63"/>
      <c r="V3" s="9"/>
      <c r="W3" s="124"/>
    </row>
    <row r="4" spans="1:23" x14ac:dyDescent="0.25">
      <c r="A4" s="106">
        <v>1</v>
      </c>
      <c r="B4" s="108">
        <f>'Απόδοση Εγκατάστασης'!J21</f>
        <v>1451.9894000000002</v>
      </c>
      <c r="C4" s="108">
        <f>B4/(POWER((1+$F$4),COUNT($B$4:B4)))</f>
        <v>1423.5190196078433</v>
      </c>
      <c r="D4" s="109">
        <f>C4</f>
        <v>1423.5190196078433</v>
      </c>
      <c r="E4" s="107">
        <f>C4-L$3</f>
        <v>-7704.4809803921562</v>
      </c>
      <c r="F4" s="113">
        <v>0.02</v>
      </c>
      <c r="G4" s="9"/>
      <c r="H4" s="9"/>
      <c r="I4" s="9"/>
      <c r="J4" s="111">
        <v>2</v>
      </c>
      <c r="K4" s="103" t="s">
        <v>271</v>
      </c>
      <c r="L4" s="114">
        <f>C4</f>
        <v>1423.5190196078433</v>
      </c>
      <c r="M4" s="9"/>
      <c r="N4" s="9"/>
      <c r="O4" s="9"/>
      <c r="P4" s="9"/>
      <c r="Q4" s="9"/>
      <c r="R4" s="9"/>
      <c r="S4" s="9"/>
      <c r="T4" s="9"/>
      <c r="U4" s="125"/>
      <c r="V4" s="9"/>
      <c r="W4" s="126"/>
    </row>
    <row r="5" spans="1:23" x14ac:dyDescent="0.25">
      <c r="A5" s="115">
        <v>2</v>
      </c>
      <c r="B5" s="116">
        <f t="shared" ref="B5:B28" si="0">B4</f>
        <v>1451.9894000000002</v>
      </c>
      <c r="C5" s="116">
        <f>B5/(POWER((1+$F$4),COUNT($B$4:B5)))</f>
        <v>1395.6068819684738</v>
      </c>
      <c r="D5" s="117">
        <f t="shared" ref="D5:D28" si="1">D4+C5</f>
        <v>2819.1259015763171</v>
      </c>
      <c r="E5" s="118">
        <f t="shared" ref="E5:E28" si="2">D5-L$3</f>
        <v>-6308.8740984236829</v>
      </c>
      <c r="F5" s="127"/>
      <c r="G5" s="9"/>
      <c r="H5" s="9"/>
      <c r="I5" s="9"/>
      <c r="J5" s="111">
        <v>3</v>
      </c>
      <c r="K5" s="103" t="s">
        <v>272</v>
      </c>
      <c r="L5" s="114">
        <f>E28</f>
        <v>19219.851851008319</v>
      </c>
      <c r="M5" s="128"/>
      <c r="N5" s="9"/>
      <c r="O5" s="9"/>
      <c r="P5" s="9"/>
      <c r="Q5" s="9"/>
      <c r="R5" s="9"/>
      <c r="S5" s="9"/>
      <c r="T5" s="9"/>
      <c r="U5" s="125"/>
      <c r="V5" s="9"/>
      <c r="W5" s="126"/>
    </row>
    <row r="6" spans="1:23" x14ac:dyDescent="0.25">
      <c r="A6" s="111">
        <v>3</v>
      </c>
      <c r="B6" s="108">
        <f t="shared" si="0"/>
        <v>1451.9894000000002</v>
      </c>
      <c r="C6" s="108">
        <f>B6/(POWER((1+$F$4),COUNT($B$4:B6)))</f>
        <v>1368.2420411455626</v>
      </c>
      <c r="D6" s="117">
        <f t="shared" si="1"/>
        <v>4187.3679427218794</v>
      </c>
      <c r="E6" s="119">
        <f t="shared" si="2"/>
        <v>-4940.6320572781206</v>
      </c>
      <c r="F6" s="127"/>
      <c r="G6" s="9"/>
      <c r="H6" s="9"/>
      <c r="I6" s="9"/>
      <c r="J6" s="111">
        <v>4</v>
      </c>
      <c r="K6" s="103" t="s">
        <v>273</v>
      </c>
      <c r="L6" s="120">
        <f t="array" ref="L6">DPP_FromNPV(E3:E28,A3:A28,C3:C28)</f>
        <v>6.7869833666614605</v>
      </c>
      <c r="M6" s="9"/>
      <c r="N6" s="9"/>
      <c r="O6" s="9"/>
      <c r="P6" s="9"/>
      <c r="Q6" s="9"/>
      <c r="R6" s="9"/>
      <c r="S6" s="9"/>
      <c r="T6" s="9"/>
      <c r="U6" s="125"/>
      <c r="V6" s="9"/>
      <c r="W6" s="126"/>
    </row>
    <row r="7" spans="1:23" x14ac:dyDescent="0.25">
      <c r="A7" s="115">
        <v>4</v>
      </c>
      <c r="B7" s="108">
        <f t="shared" si="0"/>
        <v>1451.9894000000002</v>
      </c>
      <c r="C7" s="108">
        <f>B7/(POWER((1+$F$4),COUNT($B$4:B7)))</f>
        <v>1341.4137658289828</v>
      </c>
      <c r="D7" s="117">
        <f t="shared" si="1"/>
        <v>5528.7817085508623</v>
      </c>
      <c r="E7" s="119">
        <f t="shared" si="2"/>
        <v>-3599.2182914491377</v>
      </c>
      <c r="F7" s="127"/>
      <c r="G7" s="9"/>
      <c r="H7" s="9"/>
      <c r="I7" s="9"/>
      <c r="J7" s="111">
        <v>5</v>
      </c>
      <c r="K7" s="103" t="s">
        <v>21</v>
      </c>
      <c r="L7" s="121">
        <f>IRR(B3:B28)</f>
        <v>0.15470672654179407</v>
      </c>
      <c r="M7" s="9"/>
      <c r="N7" s="9"/>
      <c r="O7" s="9"/>
      <c r="P7" s="9"/>
      <c r="Q7" s="9"/>
      <c r="R7" s="9"/>
      <c r="S7" s="9"/>
      <c r="T7" s="9"/>
      <c r="U7" s="125"/>
      <c r="V7" s="9"/>
      <c r="W7" s="126"/>
    </row>
    <row r="8" spans="1:23" x14ac:dyDescent="0.25">
      <c r="A8" s="111">
        <v>5</v>
      </c>
      <c r="B8" s="108">
        <f t="shared" si="0"/>
        <v>1451.9894000000002</v>
      </c>
      <c r="C8" s="108">
        <f>B8/(POWER((1+$F$4),COUNT($B$4:B8)))</f>
        <v>1315.1115351264539</v>
      </c>
      <c r="D8" s="117">
        <f t="shared" si="1"/>
        <v>6843.8932436773157</v>
      </c>
      <c r="E8" s="119">
        <f t="shared" si="2"/>
        <v>-2284.1067563226843</v>
      </c>
      <c r="F8" s="12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125"/>
      <c r="V8" s="9"/>
      <c r="W8" s="126"/>
    </row>
    <row r="9" spans="1:23" x14ac:dyDescent="0.25">
      <c r="A9" s="115">
        <v>6</v>
      </c>
      <c r="B9" s="108">
        <f t="shared" si="0"/>
        <v>1451.9894000000002</v>
      </c>
      <c r="C9" s="108">
        <f>B9/(POWER((1+$F$4),COUNT($B$4:B9)))</f>
        <v>1289.3250344376997</v>
      </c>
      <c r="D9" s="117">
        <f t="shared" si="1"/>
        <v>8133.218278115015</v>
      </c>
      <c r="E9" s="119">
        <f t="shared" si="2"/>
        <v>-994.78172188498502</v>
      </c>
      <c r="F9" s="12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125"/>
      <c r="V9" s="9"/>
      <c r="W9" s="126"/>
    </row>
    <row r="10" spans="1:23" x14ac:dyDescent="0.25">
      <c r="A10" s="111">
        <v>7</v>
      </c>
      <c r="B10" s="108">
        <f t="shared" si="0"/>
        <v>1451.9894000000002</v>
      </c>
      <c r="C10" s="108">
        <f>B10/(POWER((1+$F$4),COUNT($B$4:B10)))</f>
        <v>1264.0441514095098</v>
      </c>
      <c r="D10" s="117">
        <f t="shared" si="1"/>
        <v>9397.2624295245241</v>
      </c>
      <c r="E10" s="119">
        <f t="shared" si="2"/>
        <v>269.26242952452412</v>
      </c>
      <c r="F10" s="127"/>
      <c r="G10" s="9"/>
      <c r="H10" s="9"/>
      <c r="I10" s="9"/>
      <c r="J10" s="9"/>
      <c r="K10" s="9"/>
      <c r="L10" s="63"/>
      <c r="M10" s="9"/>
      <c r="N10" s="9"/>
      <c r="O10" s="9"/>
      <c r="P10" s="9"/>
      <c r="Q10" s="9"/>
      <c r="R10" s="9"/>
      <c r="S10" s="9"/>
      <c r="T10" s="9"/>
      <c r="U10" s="125"/>
      <c r="V10" s="9"/>
      <c r="W10" s="126"/>
    </row>
    <row r="11" spans="1:23" x14ac:dyDescent="0.25">
      <c r="A11" s="115">
        <v>8</v>
      </c>
      <c r="B11" s="108">
        <f t="shared" si="0"/>
        <v>1451.9894000000002</v>
      </c>
      <c r="C11" s="108">
        <f>B11/(POWER((1+$F$4),COUNT($B$4:B11)))</f>
        <v>1239.2589719701075</v>
      </c>
      <c r="D11" s="117">
        <f t="shared" si="1"/>
        <v>10636.521401494632</v>
      </c>
      <c r="E11" s="119">
        <f t="shared" si="2"/>
        <v>1508.5214014946323</v>
      </c>
      <c r="F11" s="127"/>
      <c r="G11" s="9"/>
      <c r="H11" s="9"/>
      <c r="I11" s="9"/>
      <c r="J11" s="9"/>
      <c r="K11" s="129"/>
      <c r="L11" s="9"/>
      <c r="M11" s="9"/>
      <c r="N11" s="9"/>
      <c r="O11" s="9"/>
      <c r="P11" s="9"/>
      <c r="Q11" s="9"/>
      <c r="R11" s="9"/>
      <c r="S11" s="9"/>
      <c r="T11" s="9"/>
      <c r="U11" s="125"/>
      <c r="V11" s="9"/>
      <c r="W11" s="126"/>
    </row>
    <row r="12" spans="1:23" x14ac:dyDescent="0.25">
      <c r="A12" s="111">
        <v>9</v>
      </c>
      <c r="B12" s="108">
        <f t="shared" si="0"/>
        <v>1451.9894000000002</v>
      </c>
      <c r="C12" s="108">
        <f>B12/(POWER((1+$F$4),COUNT($B$4:B12)))</f>
        <v>1214.959776441282</v>
      </c>
      <c r="D12" s="117">
        <f t="shared" si="1"/>
        <v>11851.481177935915</v>
      </c>
      <c r="E12" s="119">
        <f t="shared" si="2"/>
        <v>2723.4811779359152</v>
      </c>
      <c r="F12" s="127"/>
      <c r="G12" s="9"/>
      <c r="H12" s="9"/>
      <c r="I12" s="9"/>
      <c r="J12" s="9"/>
      <c r="K12" s="9"/>
      <c r="L12" s="9"/>
      <c r="M12" s="130"/>
      <c r="N12" s="9"/>
      <c r="O12" s="9"/>
      <c r="P12" s="9"/>
      <c r="Q12" s="9"/>
      <c r="R12" s="9"/>
      <c r="S12" s="9"/>
      <c r="T12" s="9"/>
      <c r="U12" s="125"/>
      <c r="V12" s="9"/>
      <c r="W12" s="126"/>
    </row>
    <row r="13" spans="1:23" x14ac:dyDescent="0.25">
      <c r="A13" s="115">
        <v>10</v>
      </c>
      <c r="B13" s="108">
        <f t="shared" si="0"/>
        <v>1451.9894000000002</v>
      </c>
      <c r="C13" s="108">
        <f>B13/(POWER((1+$F$4),COUNT($B$4:B13)))</f>
        <v>1191.1370357267469</v>
      </c>
      <c r="D13" s="117">
        <f t="shared" si="1"/>
        <v>13042.618213662663</v>
      </c>
      <c r="E13" s="119">
        <f t="shared" si="2"/>
        <v>3914.618213662663</v>
      </c>
      <c r="F13" s="127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125"/>
      <c r="V13" s="9"/>
      <c r="W13" s="126"/>
    </row>
    <row r="14" spans="1:23" x14ac:dyDescent="0.25">
      <c r="A14" s="111">
        <v>11</v>
      </c>
      <c r="B14" s="108">
        <f t="shared" si="0"/>
        <v>1451.9894000000002</v>
      </c>
      <c r="C14" s="108">
        <f>B14/(POWER((1+$F$4),COUNT($B$4:B14)))</f>
        <v>1167.7814075752424</v>
      </c>
      <c r="D14" s="117">
        <f t="shared" si="1"/>
        <v>14210.399621237906</v>
      </c>
      <c r="E14" s="119">
        <f t="shared" si="2"/>
        <v>5082.3996212379061</v>
      </c>
      <c r="F14" s="127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25"/>
      <c r="V14" s="9"/>
      <c r="W14" s="126"/>
    </row>
    <row r="15" spans="1:23" x14ac:dyDescent="0.25">
      <c r="A15" s="115">
        <v>12</v>
      </c>
      <c r="B15" s="108">
        <f t="shared" si="0"/>
        <v>1451.9894000000002</v>
      </c>
      <c r="C15" s="108">
        <f>B15/(POWER((1+$F$4),COUNT($B$4:B15)))</f>
        <v>1144.8837329169041</v>
      </c>
      <c r="D15" s="117">
        <f t="shared" si="1"/>
        <v>15355.28335415481</v>
      </c>
      <c r="E15" s="119">
        <f t="shared" si="2"/>
        <v>6227.2833541548098</v>
      </c>
      <c r="F15" s="127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125"/>
      <c r="V15" s="9"/>
      <c r="W15" s="126"/>
    </row>
    <row r="16" spans="1:23" x14ac:dyDescent="0.25">
      <c r="A16" s="111">
        <v>13</v>
      </c>
      <c r="B16" s="108">
        <f t="shared" si="0"/>
        <v>1451.9894000000002</v>
      </c>
      <c r="C16" s="108">
        <f>B16/(POWER((1+$F$4),COUNT($B$4:B16)))</f>
        <v>1122.4350322714747</v>
      </c>
      <c r="D16" s="117">
        <f t="shared" si="1"/>
        <v>16477.718386426284</v>
      </c>
      <c r="E16" s="119">
        <f t="shared" si="2"/>
        <v>7349.7183864262843</v>
      </c>
      <c r="F16" s="12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125"/>
      <c r="V16" s="9"/>
      <c r="W16" s="126"/>
    </row>
    <row r="17" spans="1:23" x14ac:dyDescent="0.25">
      <c r="A17" s="115">
        <v>14</v>
      </c>
      <c r="B17" s="108">
        <f t="shared" si="0"/>
        <v>1451.9894000000002</v>
      </c>
      <c r="C17" s="108">
        <f>B17/(POWER((1+$F$4),COUNT($B$4:B17)))</f>
        <v>1100.4265022269358</v>
      </c>
      <c r="D17" s="117">
        <f t="shared" si="1"/>
        <v>17578.14488865322</v>
      </c>
      <c r="E17" s="119">
        <f t="shared" si="2"/>
        <v>8450.1448886532198</v>
      </c>
      <c r="F17" s="127"/>
      <c r="G17" s="9"/>
      <c r="H17" s="9"/>
      <c r="I17" s="9"/>
      <c r="J17" s="9"/>
      <c r="K17" s="9"/>
      <c r="L17" s="9"/>
      <c r="M17" s="125"/>
      <c r="N17" s="9"/>
      <c r="O17" s="9"/>
      <c r="P17" s="9"/>
      <c r="Q17" s="9"/>
      <c r="R17" s="9"/>
      <c r="S17" s="9"/>
      <c r="T17" s="9"/>
      <c r="U17" s="125"/>
      <c r="V17" s="9"/>
      <c r="W17" s="126"/>
    </row>
    <row r="18" spans="1:23" x14ac:dyDescent="0.25">
      <c r="A18" s="111">
        <v>15</v>
      </c>
      <c r="B18" s="108">
        <f t="shared" si="0"/>
        <v>1451.9894000000002</v>
      </c>
      <c r="C18" s="108">
        <f>B18/(POWER((1+$F$4),COUNT($B$4:B18)))</f>
        <v>1078.8495119871923</v>
      </c>
      <c r="D18" s="117">
        <f t="shared" si="1"/>
        <v>18656.994400640411</v>
      </c>
      <c r="E18" s="119">
        <f t="shared" si="2"/>
        <v>9528.9944006404112</v>
      </c>
      <c r="F18" s="127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125"/>
      <c r="V18" s="9"/>
      <c r="W18" s="126"/>
    </row>
    <row r="19" spans="1:23" x14ac:dyDescent="0.25">
      <c r="A19" s="115">
        <v>16</v>
      </c>
      <c r="B19" s="108">
        <f t="shared" si="0"/>
        <v>1451.9894000000002</v>
      </c>
      <c r="C19" s="108">
        <f>B19/(POWER((1+$F$4),COUNT($B$4:B19)))</f>
        <v>1057.6955999874433</v>
      </c>
      <c r="D19" s="117">
        <f t="shared" si="1"/>
        <v>19714.690000627856</v>
      </c>
      <c r="E19" s="119">
        <f t="shared" si="2"/>
        <v>10586.690000627856</v>
      </c>
      <c r="F19" s="127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125"/>
      <c r="V19" s="9"/>
      <c r="W19" s="126"/>
    </row>
    <row r="20" spans="1:23" x14ac:dyDescent="0.25">
      <c r="A20" s="111">
        <v>17</v>
      </c>
      <c r="B20" s="108">
        <f t="shared" si="0"/>
        <v>1451.9894000000002</v>
      </c>
      <c r="C20" s="108">
        <f>B20/(POWER((1+$F$4),COUNT($B$4:B20)))</f>
        <v>1036.9564705759246</v>
      </c>
      <c r="D20" s="117">
        <f t="shared" si="1"/>
        <v>20751.646471203781</v>
      </c>
      <c r="E20" s="119">
        <f t="shared" si="2"/>
        <v>11623.646471203781</v>
      </c>
      <c r="F20" s="127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125"/>
      <c r="V20" s="9"/>
      <c r="W20" s="126"/>
    </row>
    <row r="21" spans="1:23" x14ac:dyDescent="0.25">
      <c r="A21" s="115">
        <v>18</v>
      </c>
      <c r="B21" s="108">
        <f t="shared" si="0"/>
        <v>1451.9894000000002</v>
      </c>
      <c r="C21" s="108">
        <f>B21/(POWER((1+$F$4),COUNT($B$4:B21)))</f>
        <v>1016.6239907607105</v>
      </c>
      <c r="D21" s="117">
        <f t="shared" si="1"/>
        <v>21768.270461964494</v>
      </c>
      <c r="E21" s="119">
        <f t="shared" si="2"/>
        <v>12640.270461964494</v>
      </c>
      <c r="F21" s="127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125"/>
      <c r="V21" s="9"/>
      <c r="W21" s="126"/>
    </row>
    <row r="22" spans="1:23" x14ac:dyDescent="0.25">
      <c r="A22" s="111">
        <v>19</v>
      </c>
      <c r="B22" s="108">
        <f t="shared" si="0"/>
        <v>1451.9894000000002</v>
      </c>
      <c r="C22" s="108">
        <f>B22/(POWER((1+$F$4),COUNT($B$4:B22)))</f>
        <v>996.69018702030451</v>
      </c>
      <c r="D22" s="117">
        <f t="shared" si="1"/>
        <v>22764.960648984797</v>
      </c>
      <c r="E22" s="119">
        <f t="shared" si="2"/>
        <v>13636.960648984797</v>
      </c>
      <c r="F22" s="127"/>
      <c r="G22" s="9"/>
      <c r="H22" s="9"/>
      <c r="I22" s="9"/>
      <c r="J22" s="9"/>
      <c r="K22" s="125"/>
      <c r="L22" s="9"/>
      <c r="M22" s="9"/>
      <c r="N22" s="9"/>
      <c r="O22" s="9"/>
      <c r="P22" s="9"/>
      <c r="Q22" s="9"/>
      <c r="R22" s="9"/>
      <c r="S22" s="9"/>
      <c r="T22" s="9"/>
      <c r="U22" s="125"/>
      <c r="V22" s="9"/>
      <c r="W22" s="126"/>
    </row>
    <row r="23" spans="1:23" x14ac:dyDescent="0.25">
      <c r="A23" s="115">
        <v>20</v>
      </c>
      <c r="B23" s="108">
        <f t="shared" si="0"/>
        <v>1451.9894000000002</v>
      </c>
      <c r="C23" s="108">
        <f>B23/(POWER((1+$F$4),COUNT($B$4:B23)))</f>
        <v>977.14724217676894</v>
      </c>
      <c r="D23" s="117">
        <f t="shared" si="1"/>
        <v>23742.107891161566</v>
      </c>
      <c r="E23" s="119">
        <f t="shared" si="2"/>
        <v>14614.107891161566</v>
      </c>
      <c r="F23" s="127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125"/>
      <c r="V23" s="9"/>
      <c r="W23" s="126"/>
    </row>
    <row r="24" spans="1:23" x14ac:dyDescent="0.25">
      <c r="A24" s="111">
        <v>21</v>
      </c>
      <c r="B24" s="108">
        <f t="shared" si="0"/>
        <v>1451.9894000000002</v>
      </c>
      <c r="C24" s="108">
        <f>B24/(POWER((1+$F$4),COUNT($B$4:B24)))</f>
        <v>957.98749233016576</v>
      </c>
      <c r="D24" s="117">
        <f t="shared" si="1"/>
        <v>24700.095383491731</v>
      </c>
      <c r="E24" s="119">
        <f t="shared" si="2"/>
        <v>15572.095383491731</v>
      </c>
      <c r="F24" s="127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125"/>
      <c r="V24" s="9"/>
      <c r="W24" s="126"/>
    </row>
    <row r="25" spans="1:23" x14ac:dyDescent="0.25">
      <c r="A25" s="115">
        <v>22</v>
      </c>
      <c r="B25" s="108">
        <f t="shared" si="0"/>
        <v>1451.9894000000002</v>
      </c>
      <c r="C25" s="108">
        <f>B25/(POWER((1+$F$4),COUNT($B$4:B25)))</f>
        <v>939.20342385310357</v>
      </c>
      <c r="D25" s="117">
        <f t="shared" si="1"/>
        <v>25639.298807344836</v>
      </c>
      <c r="E25" s="119">
        <f t="shared" si="2"/>
        <v>16511.298807344836</v>
      </c>
      <c r="F25" s="127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125"/>
      <c r="V25" s="9"/>
      <c r="W25" s="126"/>
    </row>
    <row r="26" spans="1:23" x14ac:dyDescent="0.25">
      <c r="A26" s="111">
        <v>23</v>
      </c>
      <c r="B26" s="108">
        <f t="shared" si="0"/>
        <v>1451.9894000000002</v>
      </c>
      <c r="C26" s="108">
        <f>B26/(POWER((1+$F$4),COUNT($B$4:B26)))</f>
        <v>920.78767044421943</v>
      </c>
      <c r="D26" s="117">
        <f t="shared" si="1"/>
        <v>26560.086477789057</v>
      </c>
      <c r="E26" s="119">
        <f t="shared" si="2"/>
        <v>17432.086477789057</v>
      </c>
      <c r="F26" s="127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25"/>
      <c r="V26" s="9"/>
      <c r="W26" s="126"/>
    </row>
    <row r="27" spans="1:23" x14ac:dyDescent="0.25">
      <c r="A27" s="115">
        <v>24</v>
      </c>
      <c r="B27" s="108">
        <f t="shared" si="0"/>
        <v>1451.9894000000002</v>
      </c>
      <c r="C27" s="108">
        <f>B27/(POWER((1+$F$4),COUNT($B$4:B27)))</f>
        <v>902.73301023943077</v>
      </c>
      <c r="D27" s="117">
        <f t="shared" si="1"/>
        <v>27462.819488028486</v>
      </c>
      <c r="E27" s="119">
        <f t="shared" si="2"/>
        <v>18334.819488028486</v>
      </c>
      <c r="F27" s="127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125"/>
      <c r="V27" s="9"/>
      <c r="W27" s="126"/>
    </row>
    <row r="28" spans="1:23" x14ac:dyDescent="0.25">
      <c r="A28" s="111">
        <v>25</v>
      </c>
      <c r="B28" s="108">
        <f t="shared" si="0"/>
        <v>1451.9894000000002</v>
      </c>
      <c r="C28" s="108">
        <f>B28/(POWER((1+$F$4),COUNT($B$4:B28)))</f>
        <v>885.03236297983403</v>
      </c>
      <c r="D28" s="117">
        <f t="shared" si="1"/>
        <v>28347.851851008319</v>
      </c>
      <c r="E28" s="119">
        <f t="shared" si="2"/>
        <v>19219.851851008319</v>
      </c>
      <c r="F28" s="131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25"/>
      <c r="V28" s="9"/>
      <c r="W28" s="126"/>
    </row>
    <row r="29" spans="1:23" x14ac:dyDescent="0.25">
      <c r="A29" s="9"/>
      <c r="B29" s="122"/>
      <c r="C29" s="12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126"/>
    </row>
  </sheetData>
  <sheetProtection sheet="1" objects="1" scenarios="1"/>
  <conditionalFormatting sqref="E3:E28">
    <cfRule type="cellIs" dxfId="17" priority="2" operator="lessThan">
      <formula>0</formula>
    </cfRule>
  </conditionalFormatting>
  <conditionalFormatting sqref="B3">
    <cfRule type="cellIs" dxfId="16" priority="1" operator="lessThan">
      <formula>0</formula>
    </cfRule>
  </conditionalFormatting>
  <printOptions horizontalCentered="1"/>
  <pageMargins left="0.23622047244094491" right="0.23622047244094491" top="0.74803149606299213" bottom="0.74803149606299213" header="0.31496062992125978" footer="0.31496062992125978"/>
  <pageSetup paperSize="9" scale="70" fitToHeight="0" orientation="landscape" r:id="rId1"/>
  <headerFooter>
    <oddHeader>&amp;C&amp;A</oddHeader>
    <oddFooter>&amp;L&amp;F&amp;R&amp;P/&amp;N</oddFooter>
  </headerFooter>
  <rowBreaks count="1" manualBreakCount="1">
    <brk id="28" max="16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0">
    <pageSetUpPr fitToPage="1"/>
  </sheetPr>
  <dimension ref="E1:Q22"/>
  <sheetViews>
    <sheetView zoomScale="70" zoomScaleNormal="70" workbookViewId="0">
      <selection activeCell="O17" sqref="O17"/>
    </sheetView>
  </sheetViews>
  <sheetFormatPr defaultRowHeight="15" x14ac:dyDescent="0.25"/>
  <cols>
    <col min="1" max="1" width="4.7109375" bestFit="1" customWidth="1"/>
    <col min="2" max="2" width="12" bestFit="1" customWidth="1"/>
    <col min="3" max="3" width="8" bestFit="1" customWidth="1"/>
    <col min="4" max="4" width="4.5703125" bestFit="1" customWidth="1"/>
    <col min="5" max="5" width="60" customWidth="1"/>
    <col min="6" max="6" width="8.7109375" bestFit="1" customWidth="1"/>
    <col min="7" max="7" width="11.42578125" bestFit="1" customWidth="1"/>
    <col min="14" max="14" width="11" bestFit="1" customWidth="1"/>
    <col min="15" max="15" width="12" bestFit="1" customWidth="1"/>
    <col min="16" max="16" width="3.28515625" bestFit="1" customWidth="1"/>
  </cols>
  <sheetData>
    <row r="1" spans="5:17" x14ac:dyDescent="0.25">
      <c r="E1" s="9"/>
      <c r="F1" s="9"/>
      <c r="G1" s="9"/>
      <c r="H1" s="9"/>
      <c r="I1" s="9"/>
      <c r="J1" s="9"/>
      <c r="K1" s="9"/>
      <c r="L1" s="9"/>
      <c r="M1" s="9"/>
      <c r="N1" s="9"/>
      <c r="O1" s="125"/>
      <c r="P1" s="9"/>
      <c r="Q1" s="126"/>
    </row>
    <row r="2" spans="5:17" x14ac:dyDescent="0.25">
      <c r="E2" s="9"/>
      <c r="F2" s="9"/>
      <c r="G2" s="9"/>
      <c r="H2" s="9"/>
      <c r="I2" s="9"/>
      <c r="J2" s="9"/>
      <c r="K2" s="9"/>
      <c r="L2" s="9"/>
      <c r="M2" s="9"/>
      <c r="N2" s="9"/>
      <c r="O2" s="125"/>
      <c r="P2" s="9"/>
      <c r="Q2" s="126"/>
    </row>
    <row r="3" spans="5:17" x14ac:dyDescent="0.25">
      <c r="E3" s="9"/>
      <c r="F3" s="63"/>
      <c r="G3" s="9"/>
      <c r="H3" s="9"/>
      <c r="I3" s="9"/>
      <c r="J3" s="9"/>
      <c r="K3" s="9"/>
      <c r="L3" s="9"/>
      <c r="M3" s="9"/>
      <c r="N3" s="9"/>
      <c r="O3" s="125"/>
      <c r="P3" s="9"/>
      <c r="Q3" s="126"/>
    </row>
    <row r="4" spans="5:17" x14ac:dyDescent="0.25">
      <c r="E4" s="129"/>
      <c r="F4" s="9"/>
      <c r="G4" s="9"/>
      <c r="H4" s="9"/>
      <c r="I4" s="9"/>
      <c r="J4" s="9"/>
      <c r="K4" s="9"/>
      <c r="L4" s="9"/>
      <c r="M4" s="9"/>
      <c r="N4" s="9"/>
      <c r="O4" s="125"/>
      <c r="P4" s="9"/>
      <c r="Q4" s="126"/>
    </row>
    <row r="5" spans="5:17" x14ac:dyDescent="0.25">
      <c r="E5" s="9"/>
      <c r="F5" s="9"/>
      <c r="G5" s="130"/>
      <c r="H5" s="9"/>
      <c r="I5" s="9"/>
      <c r="J5" s="9"/>
      <c r="K5" s="9"/>
      <c r="L5" s="9"/>
      <c r="M5" s="9"/>
      <c r="N5" s="9"/>
      <c r="O5" s="125"/>
      <c r="P5" s="9"/>
      <c r="Q5" s="126"/>
    </row>
    <row r="6" spans="5:17" x14ac:dyDescent="0.25">
      <c r="E6" s="9"/>
      <c r="F6" s="9"/>
      <c r="G6" s="9"/>
      <c r="H6" s="9"/>
      <c r="I6" s="9"/>
      <c r="J6" s="9"/>
      <c r="K6" s="9"/>
      <c r="L6" s="9"/>
      <c r="M6" s="9"/>
      <c r="N6" s="9"/>
      <c r="O6" s="125"/>
      <c r="P6" s="9"/>
      <c r="Q6" s="126"/>
    </row>
    <row r="7" spans="5:17" x14ac:dyDescent="0.25">
      <c r="E7" s="9"/>
      <c r="F7" s="9"/>
      <c r="G7" s="9"/>
      <c r="H7" s="9"/>
      <c r="I7" s="9"/>
      <c r="J7" s="9"/>
      <c r="K7" s="9"/>
      <c r="L7" s="9"/>
      <c r="M7" s="9"/>
      <c r="N7" s="9"/>
      <c r="O7" s="125"/>
      <c r="P7" s="9"/>
      <c r="Q7" s="126"/>
    </row>
    <row r="8" spans="5:17" x14ac:dyDescent="0.25">
      <c r="E8" s="9"/>
      <c r="F8" s="9"/>
      <c r="G8" s="9"/>
      <c r="H8" s="9"/>
      <c r="I8" s="9"/>
      <c r="J8" s="9"/>
      <c r="K8" s="9"/>
      <c r="L8" s="9"/>
      <c r="M8" s="9"/>
      <c r="N8" s="9"/>
      <c r="O8" s="125"/>
      <c r="P8" s="9"/>
      <c r="Q8" s="126"/>
    </row>
    <row r="9" spans="5:17" x14ac:dyDescent="0.25">
      <c r="E9" s="9"/>
      <c r="F9" s="9"/>
      <c r="G9" s="9"/>
      <c r="H9" s="9"/>
      <c r="I9" s="9"/>
      <c r="J9" s="9"/>
      <c r="K9" s="9"/>
      <c r="L9" s="9"/>
      <c r="M9" s="9"/>
      <c r="N9" s="9"/>
      <c r="O9" s="125"/>
      <c r="P9" s="9"/>
      <c r="Q9" s="126"/>
    </row>
    <row r="10" spans="5:17" x14ac:dyDescent="0.25">
      <c r="E10" s="9"/>
      <c r="F10" s="9"/>
      <c r="G10" s="125"/>
      <c r="H10" s="9"/>
      <c r="I10" s="9"/>
      <c r="J10" s="9"/>
      <c r="K10" s="9"/>
      <c r="L10" s="9"/>
      <c r="M10" s="9"/>
      <c r="N10" s="9"/>
      <c r="O10" s="125"/>
      <c r="P10" s="9"/>
      <c r="Q10" s="126"/>
    </row>
    <row r="11" spans="5:17" x14ac:dyDescent="0.25">
      <c r="E11" s="9"/>
      <c r="F11" s="9"/>
      <c r="G11" s="9"/>
      <c r="H11" s="9"/>
      <c r="I11" s="9"/>
      <c r="J11" s="9"/>
      <c r="K11" s="9"/>
      <c r="L11" s="9"/>
      <c r="M11" s="9"/>
      <c r="N11" s="9"/>
      <c r="O11" s="125"/>
      <c r="P11" s="9"/>
      <c r="Q11" s="126"/>
    </row>
    <row r="12" spans="5:17" x14ac:dyDescent="0.25">
      <c r="E12" s="9"/>
      <c r="F12" s="9"/>
      <c r="G12" s="9"/>
      <c r="H12" s="9"/>
      <c r="I12" s="9"/>
      <c r="J12" s="9"/>
      <c r="K12" s="9"/>
      <c r="L12" s="9"/>
      <c r="M12" s="9"/>
      <c r="N12" s="9"/>
      <c r="O12" s="125"/>
      <c r="P12" s="9"/>
      <c r="Q12" s="126"/>
    </row>
    <row r="13" spans="5:17" x14ac:dyDescent="0.25">
      <c r="E13" s="9"/>
      <c r="F13" s="9"/>
      <c r="G13" s="9"/>
      <c r="H13" s="9"/>
      <c r="I13" s="9"/>
      <c r="J13" s="9"/>
      <c r="K13" s="9"/>
      <c r="L13" s="9"/>
      <c r="M13" s="9"/>
      <c r="N13" s="9"/>
      <c r="O13" s="125"/>
      <c r="P13" s="9"/>
      <c r="Q13" s="126"/>
    </row>
    <row r="14" spans="5:17" x14ac:dyDescent="0.25">
      <c r="E14" s="9"/>
      <c r="F14" s="9"/>
      <c r="G14" s="9"/>
      <c r="H14" s="9"/>
      <c r="I14" s="9"/>
      <c r="J14" s="9"/>
      <c r="K14" s="9"/>
      <c r="L14" s="9"/>
      <c r="M14" s="9"/>
      <c r="N14" s="9"/>
      <c r="O14" s="125"/>
      <c r="P14" s="9"/>
      <c r="Q14" s="126"/>
    </row>
    <row r="15" spans="5:17" x14ac:dyDescent="0.25">
      <c r="E15" s="125"/>
      <c r="F15" s="9"/>
      <c r="G15" s="9"/>
      <c r="H15" s="9"/>
      <c r="I15" s="9"/>
      <c r="J15" s="9"/>
      <c r="K15" s="9"/>
      <c r="L15" s="9"/>
      <c r="M15" s="9"/>
      <c r="N15" s="9"/>
      <c r="O15" s="125"/>
      <c r="P15" s="9"/>
      <c r="Q15" s="126"/>
    </row>
    <row r="16" spans="5:17" x14ac:dyDescent="0.25">
      <c r="E16" s="9"/>
      <c r="F16" s="9"/>
      <c r="G16" s="9"/>
      <c r="H16" s="9"/>
      <c r="I16" s="9"/>
      <c r="J16" s="9"/>
      <c r="K16" s="9"/>
      <c r="L16" s="9"/>
      <c r="M16" s="9"/>
      <c r="N16" s="9"/>
      <c r="O16" s="125"/>
      <c r="P16" s="9"/>
      <c r="Q16" s="126"/>
    </row>
    <row r="17" spans="5:17" x14ac:dyDescent="0.25">
      <c r="E17" s="9"/>
      <c r="F17" s="9"/>
      <c r="G17" s="9"/>
      <c r="H17" s="9"/>
      <c r="I17" s="9"/>
      <c r="J17" s="9"/>
      <c r="K17" s="9"/>
      <c r="L17" s="9"/>
      <c r="M17" s="9"/>
      <c r="N17" s="9"/>
      <c r="O17" s="125"/>
      <c r="P17" s="9"/>
      <c r="Q17" s="126"/>
    </row>
    <row r="18" spans="5:17" x14ac:dyDescent="0.25">
      <c r="E18" s="9"/>
      <c r="F18" s="9"/>
      <c r="G18" s="9"/>
      <c r="H18" s="9"/>
      <c r="I18" s="9"/>
      <c r="J18" s="9"/>
      <c r="K18" s="9"/>
      <c r="L18" s="9"/>
      <c r="M18" s="9"/>
      <c r="N18" s="9"/>
      <c r="O18" s="125"/>
      <c r="P18" s="9"/>
      <c r="Q18" s="126"/>
    </row>
    <row r="19" spans="5:17" x14ac:dyDescent="0.25">
      <c r="E19" s="9"/>
      <c r="F19" s="9"/>
      <c r="G19" s="9"/>
      <c r="H19" s="9"/>
      <c r="I19" s="9"/>
      <c r="J19" s="9"/>
      <c r="K19" s="9"/>
      <c r="L19" s="9"/>
      <c r="M19" s="9"/>
      <c r="N19" s="9"/>
      <c r="O19" s="125"/>
      <c r="P19" s="9"/>
      <c r="Q19" s="126"/>
    </row>
    <row r="20" spans="5:17" x14ac:dyDescent="0.25">
      <c r="E20" s="9"/>
      <c r="F20" s="9"/>
      <c r="G20" s="9"/>
      <c r="H20" s="9"/>
      <c r="I20" s="9"/>
      <c r="J20" s="9"/>
      <c r="K20" s="9"/>
      <c r="L20" s="9"/>
      <c r="M20" s="9"/>
      <c r="N20" s="9"/>
      <c r="O20" s="125"/>
      <c r="P20" s="9"/>
      <c r="Q20" s="126"/>
    </row>
    <row r="21" spans="5:17" x14ac:dyDescent="0.25">
      <c r="E21" s="9"/>
      <c r="F21" s="9"/>
      <c r="G21" s="9"/>
      <c r="H21" s="9"/>
      <c r="I21" s="9"/>
      <c r="J21" s="9"/>
      <c r="K21" s="9"/>
      <c r="L21" s="9"/>
      <c r="M21" s="9"/>
      <c r="N21" s="9"/>
      <c r="O21" s="125"/>
      <c r="P21" s="9"/>
      <c r="Q21" s="126"/>
    </row>
    <row r="22" spans="5:17" x14ac:dyDescent="0.25"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126"/>
    </row>
  </sheetData>
  <sheetProtection sheet="1" objects="1" scenarios="1"/>
  <printOptions horizontalCentered="1"/>
  <pageMargins left="0.23622047244094491" right="0.23622047244094491" top="0.74803149606299213" bottom="0.74803149606299213" header="0.31496062992125978" footer="0.31496062992125978"/>
  <pageSetup paperSize="9" scale="70" fitToHeight="0" orientation="landscape" r:id="rId1"/>
  <headerFooter>
    <oddHeader>&amp;C&amp;A</oddHeader>
    <oddFooter>&amp;L&amp;F&amp;R&amp;P/&amp;N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4">
    <pageSetUpPr fitToPage="1"/>
  </sheetPr>
  <dimension ref="A1:R75"/>
  <sheetViews>
    <sheetView zoomScale="70" zoomScaleNormal="70" workbookViewId="0">
      <selection activeCell="O17" sqref="O17"/>
    </sheetView>
  </sheetViews>
  <sheetFormatPr defaultRowHeight="15" x14ac:dyDescent="0.25"/>
  <cols>
    <col min="1" max="1" width="8" customWidth="1"/>
    <col min="2" max="2" width="37.28515625" customWidth="1"/>
    <col min="3" max="3" width="52.140625" bestFit="1" customWidth="1"/>
    <col min="4" max="4" width="7.7109375" customWidth="1"/>
    <col min="5" max="5" width="6.7109375" customWidth="1"/>
    <col min="6" max="6" width="12.140625" customWidth="1"/>
    <col min="7" max="7" width="15.5703125" customWidth="1"/>
    <col min="8" max="8" width="13" customWidth="1"/>
    <col min="9" max="9" width="10.5703125" customWidth="1"/>
    <col min="10" max="10" width="10.28515625" customWidth="1"/>
    <col min="11" max="11" width="13.28515625" customWidth="1"/>
    <col min="12" max="12" width="11.140625" bestFit="1" customWidth="1"/>
    <col min="16" max="18" width="9.28515625" bestFit="1" customWidth="1"/>
  </cols>
  <sheetData>
    <row r="1" spans="1:18" x14ac:dyDescent="0.25">
      <c r="A1" s="193"/>
      <c r="B1" s="193" t="s">
        <v>274</v>
      </c>
      <c r="C1" s="193" t="s">
        <v>275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x14ac:dyDescent="0.25">
      <c r="A3" s="139" t="s">
        <v>24</v>
      </c>
      <c r="B3" s="132" t="s">
        <v>276</v>
      </c>
      <c r="C3" s="132" t="s">
        <v>277</v>
      </c>
      <c r="D3" s="132" t="s">
        <v>278</v>
      </c>
      <c r="E3" s="132" t="s">
        <v>279</v>
      </c>
      <c r="F3" s="132" t="s">
        <v>280</v>
      </c>
      <c r="G3" s="132" t="s">
        <v>281</v>
      </c>
      <c r="H3" s="132" t="s">
        <v>282</v>
      </c>
      <c r="I3" s="132" t="s">
        <v>283</v>
      </c>
      <c r="J3" s="140" t="s">
        <v>284</v>
      </c>
      <c r="K3" s="9"/>
      <c r="L3" s="9"/>
      <c r="M3" s="9"/>
      <c r="N3" s="9"/>
      <c r="O3" s="9"/>
      <c r="P3" s="9"/>
      <c r="Q3" s="9"/>
      <c r="R3" s="9"/>
    </row>
    <row r="4" spans="1:18" ht="26.25" customHeight="1" x14ac:dyDescent="0.25">
      <c r="A4" s="111">
        <v>1</v>
      </c>
      <c r="B4" s="71" t="s">
        <v>285</v>
      </c>
      <c r="C4" s="103" t="s">
        <v>286</v>
      </c>
      <c r="D4" s="111"/>
      <c r="E4" s="111" t="s">
        <v>287</v>
      </c>
      <c r="F4" s="106">
        <v>1</v>
      </c>
      <c r="G4" s="71"/>
      <c r="H4" s="141">
        <v>3782</v>
      </c>
      <c r="I4" s="142">
        <v>0.34</v>
      </c>
      <c r="J4" s="101">
        <f>H4*F4*(1-I4)</f>
        <v>2496.12</v>
      </c>
      <c r="K4" s="9"/>
      <c r="L4" s="57">
        <f t="shared" ref="L4:L44" si="0">J4/J$56</f>
        <v>0.27345749342681858</v>
      </c>
      <c r="M4" s="9"/>
      <c r="N4" s="9"/>
      <c r="O4" s="9"/>
      <c r="P4" s="9"/>
      <c r="Q4" s="9"/>
      <c r="R4" s="9"/>
    </row>
    <row r="5" spans="1:18" ht="26.25" hidden="1" customHeight="1" x14ac:dyDescent="0.25">
      <c r="A5" s="111">
        <v>2</v>
      </c>
      <c r="B5" s="71" t="s">
        <v>285</v>
      </c>
      <c r="C5" s="103" t="s">
        <v>288</v>
      </c>
      <c r="D5" s="111"/>
      <c r="E5" s="111" t="s">
        <v>287</v>
      </c>
      <c r="F5" s="106">
        <v>0</v>
      </c>
      <c r="G5" s="71"/>
      <c r="H5" s="141">
        <v>3620</v>
      </c>
      <c r="I5" s="142">
        <v>0.34</v>
      </c>
      <c r="J5" s="101">
        <f>H5*F5*(1-I5)</f>
        <v>0</v>
      </c>
      <c r="K5" s="9"/>
      <c r="L5" s="57">
        <f t="shared" si="0"/>
        <v>0</v>
      </c>
      <c r="M5" s="9"/>
      <c r="N5" s="9"/>
      <c r="O5" s="9"/>
      <c r="P5" s="9"/>
      <c r="Q5" s="9"/>
      <c r="R5" s="9"/>
    </row>
    <row r="6" spans="1:18" ht="26.25" hidden="1" customHeight="1" x14ac:dyDescent="0.25">
      <c r="A6" s="111">
        <v>3</v>
      </c>
      <c r="B6" s="71" t="s">
        <v>285</v>
      </c>
      <c r="C6" s="103" t="s">
        <v>289</v>
      </c>
      <c r="D6" s="111"/>
      <c r="E6" s="111" t="s">
        <v>287</v>
      </c>
      <c r="F6" s="106">
        <v>0</v>
      </c>
      <c r="G6" s="71"/>
      <c r="H6" s="141">
        <v>3144</v>
      </c>
      <c r="I6" s="142">
        <v>0.34</v>
      </c>
      <c r="J6" s="101">
        <f>H6*F6*(1-I6)</f>
        <v>0</v>
      </c>
      <c r="K6" s="9"/>
      <c r="L6" s="57">
        <f t="shared" si="0"/>
        <v>0</v>
      </c>
      <c r="M6" s="9"/>
      <c r="N6" s="9"/>
      <c r="O6" s="9"/>
      <c r="P6" s="9"/>
      <c r="Q6" s="9"/>
      <c r="R6" s="9"/>
    </row>
    <row r="7" spans="1:18" ht="26.25" hidden="1" customHeight="1" x14ac:dyDescent="0.25">
      <c r="A7" s="111">
        <v>4</v>
      </c>
      <c r="B7" s="71" t="s">
        <v>285</v>
      </c>
      <c r="C7" s="103" t="s">
        <v>290</v>
      </c>
      <c r="D7" s="111"/>
      <c r="E7" s="111" t="s">
        <v>287</v>
      </c>
      <c r="F7" s="106">
        <v>0</v>
      </c>
      <c r="G7" s="71"/>
      <c r="H7" s="141">
        <v>2544</v>
      </c>
      <c r="I7" s="143">
        <v>0.38</v>
      </c>
      <c r="J7" s="101">
        <f>H7*F7*(1-I7)</f>
        <v>0</v>
      </c>
      <c r="K7" s="9"/>
      <c r="L7" s="57">
        <f t="shared" si="0"/>
        <v>0</v>
      </c>
      <c r="M7" s="9"/>
      <c r="N7" s="9"/>
      <c r="O7" s="9"/>
      <c r="P7" s="9"/>
      <c r="Q7" s="9"/>
      <c r="R7" s="9"/>
    </row>
    <row r="8" spans="1:18" ht="26.25" hidden="1" customHeight="1" x14ac:dyDescent="0.25">
      <c r="A8" s="111">
        <v>5</v>
      </c>
      <c r="B8" s="103" t="s">
        <v>285</v>
      </c>
      <c r="C8" s="103" t="s">
        <v>291</v>
      </c>
      <c r="D8" s="111"/>
      <c r="E8" s="111" t="s">
        <v>287</v>
      </c>
      <c r="F8" s="106">
        <v>0</v>
      </c>
      <c r="G8" s="71"/>
      <c r="H8" s="144">
        <v>2438</v>
      </c>
      <c r="I8" s="145">
        <v>0.38</v>
      </c>
      <c r="J8" s="101">
        <f>H8*F8*(1-I8)</f>
        <v>0</v>
      </c>
      <c r="K8" s="9"/>
      <c r="L8" s="57">
        <f t="shared" si="0"/>
        <v>0</v>
      </c>
      <c r="M8" s="9"/>
      <c r="N8" s="9"/>
      <c r="O8" s="9"/>
      <c r="P8" s="9"/>
      <c r="Q8" s="9"/>
      <c r="R8" s="9"/>
    </row>
    <row r="9" spans="1:18" ht="26.25" customHeight="1" x14ac:dyDescent="0.25">
      <c r="A9" s="111">
        <v>16</v>
      </c>
      <c r="B9" s="146" t="s">
        <v>292</v>
      </c>
      <c r="C9" s="133" t="s">
        <v>293</v>
      </c>
      <c r="D9" s="147">
        <v>450</v>
      </c>
      <c r="E9" s="147" t="s">
        <v>287</v>
      </c>
      <c r="F9" s="148">
        <v>22</v>
      </c>
      <c r="G9" s="149">
        <f>F9*D9</f>
        <v>9900</v>
      </c>
      <c r="H9" s="150">
        <v>0.1</v>
      </c>
      <c r="I9" s="142">
        <v>0</v>
      </c>
      <c r="J9" s="151">
        <f>H9*G9</f>
        <v>990</v>
      </c>
      <c r="K9" s="9"/>
      <c r="L9" s="57">
        <f t="shared" si="0"/>
        <v>0.10845749342681858</v>
      </c>
      <c r="M9" s="9"/>
      <c r="N9" s="9"/>
      <c r="O9" s="9"/>
      <c r="P9" s="9"/>
      <c r="Q9" s="9"/>
      <c r="R9" s="9"/>
    </row>
    <row r="10" spans="1:18" ht="26.25" hidden="1" customHeight="1" x14ac:dyDescent="0.25">
      <c r="A10" s="111">
        <v>7</v>
      </c>
      <c r="B10" s="71" t="s">
        <v>285</v>
      </c>
      <c r="C10" s="103" t="s">
        <v>294</v>
      </c>
      <c r="D10" s="111"/>
      <c r="E10" s="111" t="s">
        <v>287</v>
      </c>
      <c r="F10" s="106">
        <v>0</v>
      </c>
      <c r="G10" s="71"/>
      <c r="H10" s="141">
        <v>1555</v>
      </c>
      <c r="I10" s="142">
        <v>0.34</v>
      </c>
      <c r="J10" s="151">
        <f t="shared" ref="J10:J19" si="1">H10*F10*(1-I10)</f>
        <v>0</v>
      </c>
      <c r="K10" s="9"/>
      <c r="L10" s="57">
        <f t="shared" si="0"/>
        <v>0</v>
      </c>
      <c r="M10" s="9"/>
      <c r="N10" s="9"/>
      <c r="O10" s="9"/>
      <c r="P10" s="9"/>
      <c r="Q10" s="9"/>
      <c r="R10" s="9"/>
    </row>
    <row r="11" spans="1:18" ht="26.25" hidden="1" customHeight="1" x14ac:dyDescent="0.25">
      <c r="A11" s="111">
        <v>8</v>
      </c>
      <c r="B11" s="71" t="s">
        <v>285</v>
      </c>
      <c r="C11" s="103" t="s">
        <v>295</v>
      </c>
      <c r="D11" s="111"/>
      <c r="E11" s="111" t="s">
        <v>287</v>
      </c>
      <c r="F11" s="106">
        <v>0</v>
      </c>
      <c r="G11" s="71"/>
      <c r="H11" s="141">
        <v>1616</v>
      </c>
      <c r="I11" s="143">
        <v>0.38</v>
      </c>
      <c r="J11" s="151">
        <f t="shared" si="1"/>
        <v>0</v>
      </c>
      <c r="K11" s="9"/>
      <c r="L11" s="57">
        <f t="shared" si="0"/>
        <v>0</v>
      </c>
      <c r="M11" s="9"/>
      <c r="N11" s="9"/>
      <c r="O11" s="9"/>
      <c r="P11" s="9"/>
      <c r="Q11" s="9"/>
      <c r="R11" s="9"/>
    </row>
    <row r="12" spans="1:18" ht="26.25" hidden="1" customHeight="1" x14ac:dyDescent="0.25">
      <c r="A12" s="111">
        <v>9</v>
      </c>
      <c r="B12" s="71" t="s">
        <v>285</v>
      </c>
      <c r="C12" s="103" t="s">
        <v>296</v>
      </c>
      <c r="D12" s="111"/>
      <c r="E12" s="111" t="s">
        <v>287</v>
      </c>
      <c r="F12" s="106">
        <v>0</v>
      </c>
      <c r="G12" s="71"/>
      <c r="H12" s="141">
        <v>1803</v>
      </c>
      <c r="I12" s="143">
        <v>0.38</v>
      </c>
      <c r="J12" s="151">
        <f t="shared" si="1"/>
        <v>0</v>
      </c>
      <c r="K12" s="9"/>
      <c r="L12" s="57">
        <f t="shared" si="0"/>
        <v>0</v>
      </c>
      <c r="M12" s="9"/>
      <c r="N12" s="9"/>
      <c r="O12" s="9"/>
      <c r="P12" s="9"/>
      <c r="Q12" s="9"/>
      <c r="R12" s="9"/>
    </row>
    <row r="13" spans="1:18" ht="26.25" hidden="1" customHeight="1" x14ac:dyDescent="0.25">
      <c r="A13" s="111">
        <v>10</v>
      </c>
      <c r="B13" s="71" t="s">
        <v>285</v>
      </c>
      <c r="C13" s="103" t="s">
        <v>297</v>
      </c>
      <c r="D13" s="111"/>
      <c r="E13" s="111" t="s">
        <v>287</v>
      </c>
      <c r="F13" s="106">
        <v>0</v>
      </c>
      <c r="G13" s="71"/>
      <c r="H13" s="141">
        <v>2262</v>
      </c>
      <c r="I13" s="142">
        <v>0.34</v>
      </c>
      <c r="J13" s="151">
        <f t="shared" si="1"/>
        <v>0</v>
      </c>
      <c r="K13" s="9"/>
      <c r="L13" s="57">
        <f t="shared" si="0"/>
        <v>0</v>
      </c>
      <c r="M13" s="9"/>
      <c r="N13" s="9"/>
      <c r="O13" s="9"/>
      <c r="P13" s="9"/>
      <c r="Q13" s="9"/>
      <c r="R13" s="9"/>
    </row>
    <row r="14" spans="1:18" ht="36" hidden="1" customHeight="1" x14ac:dyDescent="0.25">
      <c r="A14" s="111">
        <v>11</v>
      </c>
      <c r="B14" s="71" t="s">
        <v>285</v>
      </c>
      <c r="C14" s="103" t="s">
        <v>298</v>
      </c>
      <c r="D14" s="111"/>
      <c r="E14" s="111" t="s">
        <v>287</v>
      </c>
      <c r="F14" s="106">
        <v>0</v>
      </c>
      <c r="G14" s="71"/>
      <c r="H14" s="141">
        <v>2494</v>
      </c>
      <c r="I14" s="142">
        <v>0.34</v>
      </c>
      <c r="J14" s="151">
        <f t="shared" si="1"/>
        <v>0</v>
      </c>
      <c r="K14" s="9"/>
      <c r="L14" s="57">
        <f t="shared" si="0"/>
        <v>0</v>
      </c>
      <c r="M14" s="9"/>
      <c r="N14" s="9"/>
      <c r="O14" s="9"/>
      <c r="P14" s="9"/>
      <c r="Q14" s="9"/>
      <c r="R14" s="9"/>
    </row>
    <row r="15" spans="1:18" ht="26.25" hidden="1" customHeight="1" x14ac:dyDescent="0.25">
      <c r="A15" s="111">
        <v>12</v>
      </c>
      <c r="B15" s="71" t="s">
        <v>285</v>
      </c>
      <c r="C15" s="103" t="s">
        <v>299</v>
      </c>
      <c r="D15" s="111"/>
      <c r="E15" s="111" t="s">
        <v>287</v>
      </c>
      <c r="F15" s="106">
        <v>0</v>
      </c>
      <c r="G15" s="71"/>
      <c r="H15" s="141">
        <v>2705</v>
      </c>
      <c r="I15" s="142">
        <v>0.34</v>
      </c>
      <c r="J15" s="151">
        <f t="shared" si="1"/>
        <v>0</v>
      </c>
      <c r="K15" s="9"/>
      <c r="L15" s="57">
        <f t="shared" si="0"/>
        <v>0</v>
      </c>
      <c r="M15" s="9"/>
      <c r="N15" s="9"/>
      <c r="O15" s="9"/>
      <c r="P15" s="9"/>
      <c r="Q15" s="9"/>
      <c r="R15" s="9"/>
    </row>
    <row r="16" spans="1:18" ht="26.25" hidden="1" customHeight="1" x14ac:dyDescent="0.25">
      <c r="A16" s="111">
        <v>13</v>
      </c>
      <c r="B16" s="71" t="s">
        <v>300</v>
      </c>
      <c r="C16" s="103" t="s">
        <v>301</v>
      </c>
      <c r="D16" s="111"/>
      <c r="E16" s="111" t="s">
        <v>287</v>
      </c>
      <c r="F16" s="106">
        <v>0</v>
      </c>
      <c r="G16" s="71"/>
      <c r="H16" s="141">
        <v>3603</v>
      </c>
      <c r="I16" s="142">
        <v>0.38</v>
      </c>
      <c r="J16" s="151">
        <f t="shared" si="1"/>
        <v>0</v>
      </c>
      <c r="K16" s="9"/>
      <c r="L16" s="57">
        <f t="shared" si="0"/>
        <v>0</v>
      </c>
      <c r="M16" s="9"/>
      <c r="N16" s="9"/>
      <c r="O16" s="9"/>
      <c r="P16" s="9"/>
      <c r="Q16" s="9"/>
      <c r="R16" s="9"/>
    </row>
    <row r="17" spans="1:18" ht="22.5" hidden="1" customHeight="1" x14ac:dyDescent="0.25">
      <c r="A17" s="111">
        <v>14</v>
      </c>
      <c r="B17" s="71" t="s">
        <v>300</v>
      </c>
      <c r="C17" s="103" t="s">
        <v>302</v>
      </c>
      <c r="D17" s="111"/>
      <c r="E17" s="111" t="s">
        <v>287</v>
      </c>
      <c r="F17" s="106">
        <v>0</v>
      </c>
      <c r="G17" s="71"/>
      <c r="H17" s="141">
        <v>520</v>
      </c>
      <c r="I17" s="142">
        <v>0.34</v>
      </c>
      <c r="J17" s="151">
        <f t="shared" si="1"/>
        <v>0</v>
      </c>
      <c r="K17" s="9"/>
      <c r="L17" s="57">
        <f t="shared" si="0"/>
        <v>0</v>
      </c>
      <c r="M17" s="9"/>
      <c r="N17" s="9"/>
      <c r="O17" s="9"/>
      <c r="P17" s="9"/>
      <c r="Q17" s="9"/>
      <c r="R17" s="9"/>
    </row>
    <row r="18" spans="1:18" ht="21.75" hidden="1" customHeight="1" x14ac:dyDescent="0.25">
      <c r="A18" s="111">
        <v>15</v>
      </c>
      <c r="B18" s="71" t="s">
        <v>303</v>
      </c>
      <c r="C18" s="103" t="s">
        <v>304</v>
      </c>
      <c r="D18" s="111"/>
      <c r="E18" s="111" t="s">
        <v>287</v>
      </c>
      <c r="F18" s="111">
        <v>0</v>
      </c>
      <c r="G18" s="71"/>
      <c r="H18" s="101">
        <v>7.59</v>
      </c>
      <c r="I18" s="142">
        <v>0.39</v>
      </c>
      <c r="J18" s="151">
        <f t="shared" si="1"/>
        <v>0</v>
      </c>
      <c r="K18" s="9"/>
      <c r="L18" s="57">
        <f t="shared" si="0"/>
        <v>0</v>
      </c>
      <c r="M18" s="9"/>
      <c r="N18" s="9"/>
      <c r="O18" s="9"/>
      <c r="P18" s="9"/>
      <c r="Q18" s="9"/>
      <c r="R18" s="9"/>
    </row>
    <row r="19" spans="1:18" ht="45.75" customHeight="1" x14ac:dyDescent="0.25">
      <c r="A19" s="111">
        <v>20</v>
      </c>
      <c r="B19" s="146" t="s">
        <v>305</v>
      </c>
      <c r="C19" s="133" t="s">
        <v>306</v>
      </c>
      <c r="D19" s="147"/>
      <c r="E19" s="147" t="s">
        <v>307</v>
      </c>
      <c r="F19" s="147">
        <v>8</v>
      </c>
      <c r="G19" s="146"/>
      <c r="H19" s="152">
        <v>58.47</v>
      </c>
      <c r="I19" s="142">
        <v>0.35</v>
      </c>
      <c r="J19" s="151">
        <f t="shared" si="1"/>
        <v>304.04399999999998</v>
      </c>
      <c r="K19" s="9"/>
      <c r="L19" s="57">
        <f t="shared" si="0"/>
        <v>3.3308939526730939E-2</v>
      </c>
      <c r="M19" s="9"/>
      <c r="N19" s="9"/>
      <c r="O19" s="9"/>
      <c r="P19" s="9"/>
      <c r="Q19" s="9"/>
      <c r="R19" s="9"/>
    </row>
    <row r="20" spans="1:18" ht="26.25" hidden="1" customHeight="1" x14ac:dyDescent="0.25">
      <c r="A20" s="111">
        <v>17</v>
      </c>
      <c r="B20" s="71" t="s">
        <v>292</v>
      </c>
      <c r="C20" s="103" t="s">
        <v>308</v>
      </c>
      <c r="D20" s="111">
        <v>610</v>
      </c>
      <c r="E20" s="111" t="s">
        <v>287</v>
      </c>
      <c r="F20" s="153">
        <v>0</v>
      </c>
      <c r="G20" s="101">
        <f>F20*D20</f>
        <v>0</v>
      </c>
      <c r="H20" s="150">
        <v>0.113</v>
      </c>
      <c r="I20" s="142">
        <v>0</v>
      </c>
      <c r="J20" s="151">
        <f>H20*G20</f>
        <v>0</v>
      </c>
      <c r="K20" s="9"/>
      <c r="L20" s="57">
        <f t="shared" si="0"/>
        <v>0</v>
      </c>
      <c r="M20" s="9"/>
      <c r="N20" s="9"/>
      <c r="O20" s="9"/>
      <c r="P20" s="9"/>
      <c r="Q20" s="9"/>
      <c r="R20" s="9"/>
    </row>
    <row r="21" spans="1:18" ht="24.75" hidden="1" customHeight="1" x14ac:dyDescent="0.25">
      <c r="A21" s="111">
        <v>18</v>
      </c>
      <c r="B21" s="71" t="s">
        <v>292</v>
      </c>
      <c r="C21" s="103" t="s">
        <v>309</v>
      </c>
      <c r="D21" s="111">
        <v>570</v>
      </c>
      <c r="E21" s="111" t="s">
        <v>287</v>
      </c>
      <c r="F21" s="153">
        <v>0</v>
      </c>
      <c r="G21" s="101">
        <f>F21*D21</f>
        <v>0</v>
      </c>
      <c r="H21" s="150">
        <v>0.112</v>
      </c>
      <c r="I21" s="142">
        <v>0</v>
      </c>
      <c r="J21" s="151">
        <f>H21*G21</f>
        <v>0</v>
      </c>
      <c r="K21" s="9"/>
      <c r="L21" s="57">
        <f t="shared" si="0"/>
        <v>0</v>
      </c>
      <c r="M21" s="9"/>
      <c r="N21" s="9"/>
      <c r="O21" s="9"/>
      <c r="P21" s="9"/>
      <c r="Q21" s="9"/>
      <c r="R21" s="9"/>
    </row>
    <row r="22" spans="1:18" hidden="1" x14ac:dyDescent="0.25">
      <c r="A22" s="111">
        <v>19</v>
      </c>
      <c r="B22" s="71" t="s">
        <v>303</v>
      </c>
      <c r="C22" s="103" t="s">
        <v>304</v>
      </c>
      <c r="D22" s="111"/>
      <c r="E22" s="111" t="s">
        <v>287</v>
      </c>
      <c r="F22" s="111">
        <v>0</v>
      </c>
      <c r="G22" s="71"/>
      <c r="H22" s="101">
        <v>7.59</v>
      </c>
      <c r="I22" s="142">
        <v>0.39</v>
      </c>
      <c r="J22" s="151">
        <f t="shared" ref="J22:J44" si="2">H22*F22*(1-I22)</f>
        <v>0</v>
      </c>
      <c r="K22" s="9"/>
      <c r="L22" s="57">
        <f t="shared" si="0"/>
        <v>0</v>
      </c>
      <c r="M22" s="9"/>
      <c r="N22" s="9"/>
      <c r="O22" s="9"/>
      <c r="P22" s="9"/>
      <c r="Q22" s="9"/>
      <c r="R22" s="9"/>
    </row>
    <row r="23" spans="1:18" ht="30" customHeight="1" x14ac:dyDescent="0.25">
      <c r="A23" s="111">
        <v>22</v>
      </c>
      <c r="B23" s="133" t="s">
        <v>310</v>
      </c>
      <c r="C23" s="133" t="s">
        <v>311</v>
      </c>
      <c r="D23" s="147"/>
      <c r="E23" s="147" t="s">
        <v>312</v>
      </c>
      <c r="F23" s="154">
        <v>32</v>
      </c>
      <c r="G23" s="146"/>
      <c r="H23" s="141">
        <v>2.35</v>
      </c>
      <c r="I23" s="142">
        <v>0.35</v>
      </c>
      <c r="J23" s="151">
        <f t="shared" si="2"/>
        <v>48.88</v>
      </c>
      <c r="K23" s="9"/>
      <c r="L23" s="57">
        <f t="shared" si="0"/>
        <v>5.3549517966695881E-3</v>
      </c>
      <c r="M23" s="9"/>
      <c r="N23" s="9"/>
      <c r="O23" s="9"/>
      <c r="P23" s="9"/>
      <c r="Q23" s="9"/>
      <c r="R23" s="9"/>
    </row>
    <row r="24" spans="1:18" ht="39.75" hidden="1" customHeight="1" x14ac:dyDescent="0.25">
      <c r="A24" s="111">
        <v>21</v>
      </c>
      <c r="B24" s="71" t="s">
        <v>313</v>
      </c>
      <c r="C24" s="103" t="s">
        <v>314</v>
      </c>
      <c r="D24" s="111"/>
      <c r="E24" s="111" t="s">
        <v>312</v>
      </c>
      <c r="F24" s="106">
        <v>0</v>
      </c>
      <c r="G24" s="71"/>
      <c r="H24" s="155">
        <v>5.03</v>
      </c>
      <c r="I24" s="142">
        <v>0.35</v>
      </c>
      <c r="J24" s="101">
        <f t="shared" si="2"/>
        <v>0</v>
      </c>
      <c r="K24" s="9"/>
      <c r="L24" s="57">
        <f t="shared" si="0"/>
        <v>0</v>
      </c>
      <c r="M24" s="9"/>
      <c r="N24" s="9"/>
      <c r="O24" s="9"/>
      <c r="P24" s="9"/>
      <c r="Q24" s="9"/>
      <c r="R24" s="9"/>
    </row>
    <row r="25" spans="1:18" ht="39.75" customHeight="1" x14ac:dyDescent="0.25">
      <c r="A25" s="111">
        <v>23</v>
      </c>
      <c r="B25" s="133" t="s">
        <v>315</v>
      </c>
      <c r="C25" s="133" t="s">
        <v>316</v>
      </c>
      <c r="D25" s="147"/>
      <c r="E25" s="147" t="s">
        <v>312</v>
      </c>
      <c r="F25" s="154">
        <v>32</v>
      </c>
      <c r="G25" s="146"/>
      <c r="H25" s="141">
        <v>2.35</v>
      </c>
      <c r="I25" s="142">
        <v>0.35</v>
      </c>
      <c r="J25" s="151">
        <f t="shared" si="2"/>
        <v>48.88</v>
      </c>
      <c r="K25" s="9"/>
      <c r="L25" s="57">
        <f t="shared" si="0"/>
        <v>5.3549517966695881E-3</v>
      </c>
      <c r="M25" s="9"/>
      <c r="N25" s="9"/>
      <c r="O25" s="9"/>
      <c r="P25" s="9"/>
      <c r="Q25" s="9"/>
      <c r="R25" s="9"/>
    </row>
    <row r="26" spans="1:18" ht="36.75" customHeight="1" x14ac:dyDescent="0.25">
      <c r="A26" s="111">
        <v>25</v>
      </c>
      <c r="B26" s="146" t="s">
        <v>317</v>
      </c>
      <c r="C26" s="133" t="s">
        <v>318</v>
      </c>
      <c r="D26" s="147"/>
      <c r="E26" s="147" t="s">
        <v>312</v>
      </c>
      <c r="F26" s="154">
        <v>24</v>
      </c>
      <c r="G26" s="146"/>
      <c r="H26" s="155">
        <v>9.8000000000000007</v>
      </c>
      <c r="I26" s="143">
        <v>0.35</v>
      </c>
      <c r="J26" s="151">
        <f t="shared" si="2"/>
        <v>152.88000000000002</v>
      </c>
      <c r="K26" s="9"/>
      <c r="L26" s="57">
        <f t="shared" si="0"/>
        <v>1.6748466257668713E-2</v>
      </c>
      <c r="M26" s="9"/>
      <c r="N26" s="9"/>
      <c r="O26" s="9"/>
      <c r="P26" s="9"/>
      <c r="Q26" s="9"/>
      <c r="R26" s="9"/>
    </row>
    <row r="27" spans="1:18" ht="26.25" hidden="1" customHeight="1" x14ac:dyDescent="0.25">
      <c r="A27" s="111">
        <v>24</v>
      </c>
      <c r="B27" s="103" t="s">
        <v>319</v>
      </c>
      <c r="C27" s="103" t="s">
        <v>320</v>
      </c>
      <c r="D27" s="111"/>
      <c r="E27" s="111" t="s">
        <v>312</v>
      </c>
      <c r="F27" s="106">
        <v>0</v>
      </c>
      <c r="G27" s="71"/>
      <c r="H27" s="141">
        <v>49.32</v>
      </c>
      <c r="I27" s="143">
        <v>0.35</v>
      </c>
      <c r="J27" s="151">
        <f t="shared" si="2"/>
        <v>0</v>
      </c>
      <c r="K27" s="9"/>
      <c r="L27" s="57">
        <f t="shared" si="0"/>
        <v>0</v>
      </c>
      <c r="M27" s="9"/>
      <c r="N27" s="9"/>
      <c r="O27" s="9"/>
      <c r="P27" s="9"/>
      <c r="Q27" s="9"/>
      <c r="R27" s="9"/>
    </row>
    <row r="28" spans="1:18" hidden="1" x14ac:dyDescent="0.25">
      <c r="A28" s="111">
        <v>6</v>
      </c>
      <c r="B28" s="134" t="s">
        <v>285</v>
      </c>
      <c r="C28" s="134" t="s">
        <v>321</v>
      </c>
      <c r="D28" s="156"/>
      <c r="E28" s="156" t="s">
        <v>287</v>
      </c>
      <c r="F28" s="157">
        <v>0</v>
      </c>
      <c r="G28" s="161"/>
      <c r="H28" s="158">
        <v>2286</v>
      </c>
      <c r="I28" s="159">
        <v>0.38</v>
      </c>
      <c r="J28" s="160">
        <f t="shared" si="2"/>
        <v>0</v>
      </c>
      <c r="K28" s="9"/>
      <c r="L28" s="57">
        <f t="shared" si="0"/>
        <v>0</v>
      </c>
      <c r="M28" s="9"/>
      <c r="N28" s="9"/>
      <c r="O28" s="9"/>
      <c r="P28" s="9"/>
      <c r="Q28" s="9"/>
      <c r="R28" s="9"/>
    </row>
    <row r="29" spans="1:18" ht="45" hidden="1" customHeight="1" x14ac:dyDescent="0.25">
      <c r="A29" s="111">
        <v>26</v>
      </c>
      <c r="B29" s="71" t="s">
        <v>322</v>
      </c>
      <c r="C29" s="103" t="s">
        <v>323</v>
      </c>
      <c r="D29" s="111"/>
      <c r="E29" s="111" t="s">
        <v>312</v>
      </c>
      <c r="F29" s="106">
        <v>0</v>
      </c>
      <c r="G29" s="71"/>
      <c r="H29" s="155">
        <v>3.85</v>
      </c>
      <c r="I29" s="143">
        <v>0.35</v>
      </c>
      <c r="J29" s="151">
        <f t="shared" si="2"/>
        <v>0</v>
      </c>
      <c r="K29" s="9"/>
      <c r="L29" s="57">
        <f t="shared" si="0"/>
        <v>0</v>
      </c>
      <c r="M29" s="9"/>
      <c r="N29" s="9"/>
      <c r="O29" s="9"/>
      <c r="P29" s="9"/>
      <c r="Q29" s="9"/>
      <c r="R29" s="9"/>
    </row>
    <row r="30" spans="1:18" x14ac:dyDescent="0.25">
      <c r="A30" s="111">
        <v>27</v>
      </c>
      <c r="B30" s="161" t="s">
        <v>324</v>
      </c>
      <c r="C30" s="135" t="s">
        <v>325</v>
      </c>
      <c r="D30" s="162"/>
      <c r="E30" s="162" t="s">
        <v>287</v>
      </c>
      <c r="F30" s="163">
        <v>1</v>
      </c>
      <c r="G30" s="161"/>
      <c r="H30" s="155">
        <v>343</v>
      </c>
      <c r="I30" s="143">
        <v>0.4</v>
      </c>
      <c r="J30" s="151">
        <f t="shared" si="2"/>
        <v>205.79999999999998</v>
      </c>
      <c r="K30" s="9"/>
      <c r="L30" s="57">
        <f t="shared" si="0"/>
        <v>2.2546012269938649E-2</v>
      </c>
      <c r="M30" s="9"/>
      <c r="N30" s="9"/>
      <c r="O30" s="9"/>
      <c r="P30" s="9"/>
      <c r="Q30" s="9"/>
      <c r="R30" s="9"/>
    </row>
    <row r="31" spans="1:18" x14ac:dyDescent="0.25">
      <c r="A31" s="111">
        <v>28</v>
      </c>
      <c r="B31" s="161" t="s">
        <v>326</v>
      </c>
      <c r="C31" s="135" t="s">
        <v>327</v>
      </c>
      <c r="D31" s="162"/>
      <c r="E31" s="162" t="s">
        <v>287</v>
      </c>
      <c r="F31" s="163">
        <v>1</v>
      </c>
      <c r="G31" s="161"/>
      <c r="H31" s="141">
        <v>0</v>
      </c>
      <c r="I31" s="142">
        <v>0.34</v>
      </c>
      <c r="J31" s="101">
        <f t="shared" si="2"/>
        <v>0</v>
      </c>
      <c r="K31" s="9"/>
      <c r="L31" s="57">
        <f t="shared" si="0"/>
        <v>0</v>
      </c>
      <c r="M31" s="9"/>
      <c r="N31" s="9"/>
      <c r="O31" s="9"/>
      <c r="P31" s="9"/>
      <c r="Q31" s="9"/>
      <c r="R31" s="9"/>
    </row>
    <row r="32" spans="1:18" x14ac:dyDescent="0.25">
      <c r="A32" s="111">
        <v>29</v>
      </c>
      <c r="B32" s="161" t="s">
        <v>328</v>
      </c>
      <c r="C32" s="135" t="s">
        <v>329</v>
      </c>
      <c r="D32" s="162"/>
      <c r="E32" s="162" t="s">
        <v>287</v>
      </c>
      <c r="F32" s="163">
        <v>1</v>
      </c>
      <c r="G32" s="161"/>
      <c r="H32" s="141">
        <v>72</v>
      </c>
      <c r="I32" s="143">
        <v>0.4</v>
      </c>
      <c r="J32" s="151">
        <f t="shared" si="2"/>
        <v>43.199999999999996</v>
      </c>
      <c r="K32" s="9"/>
      <c r="L32" s="57">
        <f t="shared" si="0"/>
        <v>4.7326906222611743E-3</v>
      </c>
      <c r="M32" s="9"/>
      <c r="N32" s="9"/>
      <c r="O32" s="9"/>
      <c r="P32" s="9"/>
      <c r="Q32" s="9"/>
      <c r="R32" s="9"/>
    </row>
    <row r="33" spans="1:18" x14ac:dyDescent="0.25">
      <c r="A33" s="111">
        <v>36</v>
      </c>
      <c r="B33" s="136" t="s">
        <v>330</v>
      </c>
      <c r="C33" s="136" t="s">
        <v>331</v>
      </c>
      <c r="D33" s="164">
        <f>F33*2.56</f>
        <v>0</v>
      </c>
      <c r="E33" s="164" t="s">
        <v>312</v>
      </c>
      <c r="F33" s="165">
        <v>0</v>
      </c>
      <c r="G33" s="194"/>
      <c r="H33" s="144">
        <v>1658</v>
      </c>
      <c r="I33" s="145">
        <v>0.38</v>
      </c>
      <c r="J33" s="166">
        <f t="shared" si="2"/>
        <v>0</v>
      </c>
      <c r="K33" s="9"/>
      <c r="L33" s="57">
        <f t="shared" si="0"/>
        <v>0</v>
      </c>
      <c r="M33" s="9"/>
      <c r="N33" s="9"/>
      <c r="O33" s="9"/>
      <c r="P33" s="9"/>
      <c r="Q33" s="9"/>
      <c r="R33" s="9"/>
    </row>
    <row r="34" spans="1:18" x14ac:dyDescent="0.25">
      <c r="A34" s="111">
        <v>37</v>
      </c>
      <c r="B34" s="136" t="s">
        <v>332</v>
      </c>
      <c r="C34" s="136" t="s">
        <v>333</v>
      </c>
      <c r="D34" s="164"/>
      <c r="E34" s="164" t="s">
        <v>312</v>
      </c>
      <c r="F34" s="165">
        <v>0</v>
      </c>
      <c r="G34" s="194"/>
      <c r="H34" s="144">
        <v>724</v>
      </c>
      <c r="I34" s="145">
        <v>0.38</v>
      </c>
      <c r="J34" s="166">
        <f t="shared" si="2"/>
        <v>0</v>
      </c>
      <c r="K34" s="9"/>
      <c r="L34" s="57">
        <f t="shared" si="0"/>
        <v>0</v>
      </c>
      <c r="M34" s="9"/>
      <c r="N34" s="9"/>
      <c r="O34" s="9"/>
      <c r="P34" s="9"/>
      <c r="Q34" s="9"/>
      <c r="R34" s="9"/>
    </row>
    <row r="35" spans="1:18" hidden="1" x14ac:dyDescent="0.25">
      <c r="A35" s="111">
        <v>32</v>
      </c>
      <c r="B35" s="71" t="s">
        <v>334</v>
      </c>
      <c r="C35" s="103" t="s">
        <v>335</v>
      </c>
      <c r="D35" s="111"/>
      <c r="E35" s="111" t="s">
        <v>312</v>
      </c>
      <c r="F35" s="106">
        <v>0</v>
      </c>
      <c r="G35" s="71"/>
      <c r="H35" s="141">
        <v>182</v>
      </c>
      <c r="I35" s="142">
        <v>0.45</v>
      </c>
      <c r="J35" s="101">
        <f t="shared" si="2"/>
        <v>0</v>
      </c>
      <c r="K35" s="167"/>
      <c r="L35" s="57">
        <f t="shared" si="0"/>
        <v>0</v>
      </c>
      <c r="M35" s="9"/>
      <c r="N35" s="9"/>
      <c r="O35" s="9"/>
      <c r="P35" s="9"/>
      <c r="Q35" s="9"/>
      <c r="R35" s="9"/>
    </row>
    <row r="36" spans="1:18" hidden="1" x14ac:dyDescent="0.25">
      <c r="A36" s="111">
        <v>33</v>
      </c>
      <c r="B36" s="71" t="s">
        <v>336</v>
      </c>
      <c r="C36" s="103" t="s">
        <v>337</v>
      </c>
      <c r="D36" s="111"/>
      <c r="E36" s="111" t="s">
        <v>312</v>
      </c>
      <c r="F36" s="106">
        <v>0</v>
      </c>
      <c r="G36" s="71"/>
      <c r="H36" s="141">
        <v>182</v>
      </c>
      <c r="I36" s="142">
        <v>0.45</v>
      </c>
      <c r="J36" s="101">
        <f t="shared" si="2"/>
        <v>0</v>
      </c>
      <c r="K36" s="167"/>
      <c r="L36" s="57">
        <f t="shared" si="0"/>
        <v>0</v>
      </c>
      <c r="M36" s="9"/>
      <c r="N36" s="9"/>
      <c r="O36" s="9"/>
      <c r="P36" s="9"/>
      <c r="Q36" s="9"/>
      <c r="R36" s="9"/>
    </row>
    <row r="37" spans="1:18" x14ac:dyDescent="0.25">
      <c r="A37" s="111">
        <v>34</v>
      </c>
      <c r="B37" s="136" t="s">
        <v>338</v>
      </c>
      <c r="C37" s="136" t="s">
        <v>339</v>
      </c>
      <c r="D37" s="164"/>
      <c r="E37" s="164" t="s">
        <v>312</v>
      </c>
      <c r="F37" s="165">
        <v>0</v>
      </c>
      <c r="G37" s="194"/>
      <c r="H37" s="144">
        <v>266</v>
      </c>
      <c r="I37" s="145">
        <v>0.34</v>
      </c>
      <c r="J37" s="168">
        <f t="shared" si="2"/>
        <v>0</v>
      </c>
      <c r="K37" s="167"/>
      <c r="L37" s="57">
        <f t="shared" si="0"/>
        <v>0</v>
      </c>
      <c r="M37" s="9"/>
      <c r="N37" s="9"/>
      <c r="O37" s="9"/>
      <c r="P37" s="9"/>
      <c r="Q37" s="9"/>
      <c r="R37" s="9"/>
    </row>
    <row r="38" spans="1:18" ht="30" hidden="1" customHeight="1" x14ac:dyDescent="0.25">
      <c r="A38" s="111">
        <v>35</v>
      </c>
      <c r="B38" s="103" t="s">
        <v>338</v>
      </c>
      <c r="C38" s="103" t="s">
        <v>340</v>
      </c>
      <c r="D38" s="111"/>
      <c r="E38" s="111" t="s">
        <v>312</v>
      </c>
      <c r="F38" s="106">
        <v>0</v>
      </c>
      <c r="G38" s="71"/>
      <c r="H38" s="144">
        <v>440</v>
      </c>
      <c r="I38" s="169">
        <v>0.32</v>
      </c>
      <c r="J38" s="166">
        <f t="shared" si="2"/>
        <v>0</v>
      </c>
      <c r="K38" s="167"/>
      <c r="L38" s="57">
        <f t="shared" si="0"/>
        <v>0</v>
      </c>
      <c r="M38" s="9"/>
      <c r="N38" s="9"/>
      <c r="O38" s="9"/>
      <c r="P38" s="9"/>
      <c r="Q38" s="9"/>
      <c r="R38" s="9"/>
    </row>
    <row r="39" spans="1:18" hidden="1" x14ac:dyDescent="0.25">
      <c r="A39" s="111">
        <v>30</v>
      </c>
      <c r="B39" s="71" t="s">
        <v>341</v>
      </c>
      <c r="C39" s="103" t="s">
        <v>342</v>
      </c>
      <c r="D39" s="111"/>
      <c r="E39" s="111" t="s">
        <v>312</v>
      </c>
      <c r="F39" s="106">
        <v>0</v>
      </c>
      <c r="G39" s="71"/>
      <c r="H39" s="141">
        <v>0.52</v>
      </c>
      <c r="I39" s="142">
        <v>0.35</v>
      </c>
      <c r="J39" s="151">
        <f t="shared" si="2"/>
        <v>0</v>
      </c>
      <c r="K39" s="167"/>
      <c r="L39" s="57">
        <f t="shared" si="0"/>
        <v>0</v>
      </c>
      <c r="M39" s="9"/>
      <c r="N39" s="9"/>
      <c r="O39" s="9"/>
      <c r="P39" s="9"/>
      <c r="Q39" s="9"/>
      <c r="R39" s="9"/>
    </row>
    <row r="40" spans="1:18" hidden="1" x14ac:dyDescent="0.25">
      <c r="A40" s="111">
        <v>31</v>
      </c>
      <c r="B40" s="71" t="s">
        <v>343</v>
      </c>
      <c r="C40" s="103" t="s">
        <v>344</v>
      </c>
      <c r="D40" s="111"/>
      <c r="E40" s="111" t="s">
        <v>312</v>
      </c>
      <c r="F40" s="106">
        <v>0</v>
      </c>
      <c r="G40" s="71"/>
      <c r="H40" s="141">
        <v>0.17</v>
      </c>
      <c r="I40" s="142">
        <v>0.35</v>
      </c>
      <c r="J40" s="151">
        <f t="shared" si="2"/>
        <v>0</v>
      </c>
      <c r="K40" s="167"/>
      <c r="L40" s="57">
        <f t="shared" si="0"/>
        <v>0</v>
      </c>
      <c r="M40" s="9"/>
      <c r="N40" s="9"/>
      <c r="O40" s="9"/>
      <c r="P40" s="9">
        <v>19</v>
      </c>
      <c r="Q40" s="9">
        <v>570</v>
      </c>
      <c r="R40" s="9">
        <f>Q40*P40</f>
        <v>10830</v>
      </c>
    </row>
    <row r="41" spans="1:18" x14ac:dyDescent="0.25">
      <c r="A41" s="111">
        <v>38</v>
      </c>
      <c r="B41" s="103" t="s">
        <v>345</v>
      </c>
      <c r="C41" s="103"/>
      <c r="D41" s="111"/>
      <c r="E41" s="111" t="s">
        <v>346</v>
      </c>
      <c r="F41" s="106">
        <v>1</v>
      </c>
      <c r="G41" s="71"/>
      <c r="H41" s="144">
        <v>100</v>
      </c>
      <c r="I41" s="145">
        <v>0</v>
      </c>
      <c r="J41" s="166">
        <f t="shared" si="2"/>
        <v>100</v>
      </c>
      <c r="K41" s="167"/>
      <c r="L41" s="57">
        <f t="shared" si="0"/>
        <v>1.0955302366345312E-2</v>
      </c>
      <c r="M41" s="9"/>
      <c r="N41" s="9"/>
      <c r="O41" s="9"/>
      <c r="P41" s="9"/>
      <c r="Q41" s="9"/>
      <c r="R41" s="9"/>
    </row>
    <row r="42" spans="1:18" x14ac:dyDescent="0.25">
      <c r="A42" s="111">
        <v>39</v>
      </c>
      <c r="B42" s="103" t="s">
        <v>347</v>
      </c>
      <c r="C42" s="103"/>
      <c r="D42" s="111"/>
      <c r="E42" s="111" t="s">
        <v>346</v>
      </c>
      <c r="F42" s="106">
        <v>1</v>
      </c>
      <c r="G42" s="71"/>
      <c r="H42" s="170">
        <f>Υλικά!I45</f>
        <v>902.63900000000001</v>
      </c>
      <c r="I42" s="169">
        <v>0</v>
      </c>
      <c r="J42" s="168">
        <f t="shared" si="2"/>
        <v>902.63900000000001</v>
      </c>
      <c r="K42" s="167"/>
      <c r="L42" s="57">
        <f t="shared" si="0"/>
        <v>9.8886831726555657E-2</v>
      </c>
      <c r="M42" s="9"/>
      <c r="N42" s="9"/>
      <c r="O42" s="9"/>
      <c r="P42" s="9"/>
      <c r="Q42" s="9"/>
      <c r="R42" s="9"/>
    </row>
    <row r="43" spans="1:18" hidden="1" x14ac:dyDescent="0.25">
      <c r="A43" s="111">
        <v>40</v>
      </c>
      <c r="B43" s="103" t="s">
        <v>348</v>
      </c>
      <c r="C43" s="103"/>
      <c r="D43" s="111"/>
      <c r="E43" s="111" t="s">
        <v>346</v>
      </c>
      <c r="F43" s="106">
        <v>0</v>
      </c>
      <c r="G43" s="71"/>
      <c r="H43" s="144">
        <v>430</v>
      </c>
      <c r="I43" s="169">
        <v>0</v>
      </c>
      <c r="J43" s="168">
        <f t="shared" si="2"/>
        <v>0</v>
      </c>
      <c r="K43" s="167"/>
      <c r="L43" s="57">
        <f t="shared" si="0"/>
        <v>0</v>
      </c>
      <c r="M43" s="9"/>
      <c r="N43" s="9"/>
      <c r="O43" s="9"/>
      <c r="P43" s="9">
        <v>12</v>
      </c>
      <c r="Q43" s="9">
        <v>610</v>
      </c>
      <c r="R43" s="9">
        <f>Q43*P43</f>
        <v>7320</v>
      </c>
    </row>
    <row r="44" spans="1:18" hidden="1" x14ac:dyDescent="0.25">
      <c r="A44" s="111">
        <v>41</v>
      </c>
      <c r="B44" s="137" t="s">
        <v>349</v>
      </c>
      <c r="C44" s="137"/>
      <c r="D44" s="171"/>
      <c r="E44" s="171" t="s">
        <v>346</v>
      </c>
      <c r="F44" s="172">
        <v>0</v>
      </c>
      <c r="G44" s="195"/>
      <c r="H44" s="173">
        <v>500</v>
      </c>
      <c r="I44" s="174">
        <v>0</v>
      </c>
      <c r="J44" s="175">
        <f t="shared" si="2"/>
        <v>0</v>
      </c>
      <c r="K44" s="122"/>
      <c r="L44" s="57">
        <f t="shared" si="0"/>
        <v>0</v>
      </c>
      <c r="M44" s="9"/>
      <c r="N44" s="9"/>
      <c r="O44" s="9"/>
      <c r="P44" s="9"/>
      <c r="Q44" s="9"/>
      <c r="R44" s="9">
        <f>SUBTOTAL(9,R40:R43)</f>
        <v>0</v>
      </c>
    </row>
    <row r="45" spans="1:18" ht="22.5" customHeight="1" x14ac:dyDescent="0.25">
      <c r="A45" s="176"/>
      <c r="B45" s="138"/>
      <c r="C45" s="138"/>
      <c r="D45" s="122"/>
      <c r="E45" s="122"/>
      <c r="F45" s="122"/>
      <c r="G45" s="122"/>
      <c r="H45" s="177"/>
      <c r="I45" s="178"/>
      <c r="J45" s="179"/>
      <c r="K45" s="177"/>
      <c r="L45" s="9"/>
      <c r="M45" s="9"/>
      <c r="N45" s="9"/>
      <c r="O45" s="9"/>
      <c r="P45" s="9"/>
      <c r="Q45" s="9"/>
      <c r="R45" s="9"/>
    </row>
    <row r="46" spans="1:18" ht="22.5" customHeight="1" x14ac:dyDescent="0.25">
      <c r="A46" s="180"/>
      <c r="B46" s="9"/>
      <c r="C46" s="9"/>
      <c r="D46" s="122"/>
      <c r="E46" s="122"/>
      <c r="F46" s="122"/>
      <c r="G46" s="122"/>
      <c r="H46" s="9"/>
      <c r="I46" s="9"/>
      <c r="J46" s="181"/>
      <c r="K46" s="9"/>
      <c r="L46" s="9"/>
      <c r="M46" s="9"/>
      <c r="N46" s="9"/>
      <c r="O46" s="9"/>
      <c r="P46" s="9"/>
      <c r="Q46" s="9"/>
      <c r="R46" s="9"/>
    </row>
    <row r="47" spans="1:18" ht="22.5" customHeight="1" x14ac:dyDescent="0.25">
      <c r="A47" s="182"/>
      <c r="B47" s="183" t="s">
        <v>350</v>
      </c>
      <c r="C47" s="183"/>
      <c r="D47" s="183"/>
      <c r="E47" s="183"/>
      <c r="F47" s="183"/>
      <c r="G47" s="183"/>
      <c r="H47" s="183"/>
      <c r="I47" s="183"/>
      <c r="J47" s="184">
        <f>SUM(J4:J46)</f>
        <v>5292.4430000000002</v>
      </c>
      <c r="K47" s="177"/>
      <c r="L47" s="57">
        <f>J47/J$56</f>
        <v>0.57980313321647681</v>
      </c>
      <c r="M47" s="9"/>
      <c r="N47" s="9"/>
      <c r="O47" s="9"/>
      <c r="P47" s="9"/>
      <c r="Q47" s="9"/>
      <c r="R47" s="9"/>
    </row>
    <row r="48" spans="1:18" ht="22.5" customHeight="1" x14ac:dyDescent="0.25">
      <c r="A48" s="180"/>
      <c r="B48" s="9"/>
      <c r="C48" s="9"/>
      <c r="D48" s="9"/>
      <c r="E48" s="9"/>
      <c r="F48" s="9"/>
      <c r="G48" s="9"/>
      <c r="H48" s="9"/>
      <c r="I48" s="9"/>
      <c r="J48" s="185"/>
      <c r="K48" s="9"/>
      <c r="L48" s="57"/>
      <c r="M48" s="9"/>
      <c r="N48" s="9"/>
      <c r="O48" s="9"/>
      <c r="P48" s="9"/>
      <c r="Q48" s="9"/>
      <c r="R48" s="9"/>
    </row>
    <row r="49" spans="1:18" ht="22.5" customHeight="1" x14ac:dyDescent="0.25">
      <c r="A49" s="182"/>
      <c r="B49" s="183" t="s">
        <v>351</v>
      </c>
      <c r="C49" s="183"/>
      <c r="D49" s="183"/>
      <c r="E49" s="183"/>
      <c r="F49" s="183"/>
      <c r="G49" s="183"/>
      <c r="H49" s="183"/>
      <c r="I49" s="183"/>
      <c r="J49" s="186">
        <f>Εργασίες!G32</f>
        <v>1550</v>
      </c>
      <c r="K49" s="9"/>
      <c r="L49" s="57">
        <f>J49/J$56</f>
        <v>0.16980718667835232</v>
      </c>
      <c r="M49" s="9"/>
      <c r="N49" s="9"/>
      <c r="O49" s="9"/>
      <c r="P49" s="9"/>
      <c r="Q49" s="9"/>
      <c r="R49" s="9"/>
    </row>
    <row r="50" spans="1:18" ht="22.5" customHeight="1" x14ac:dyDescent="0.25">
      <c r="A50" s="180"/>
      <c r="B50" s="9"/>
      <c r="C50" s="9"/>
      <c r="D50" s="9"/>
      <c r="E50" s="9"/>
      <c r="F50" s="9"/>
      <c r="G50" s="9"/>
      <c r="H50" s="9"/>
      <c r="I50" s="9"/>
      <c r="J50" s="185"/>
      <c r="K50" s="9"/>
      <c r="L50" s="9"/>
      <c r="M50" s="9"/>
      <c r="N50" s="9"/>
      <c r="O50" s="9"/>
      <c r="P50" s="9"/>
      <c r="Q50" s="9"/>
      <c r="R50" s="9"/>
    </row>
    <row r="51" spans="1:18" ht="22.5" customHeight="1" x14ac:dyDescent="0.25">
      <c r="A51" s="182"/>
      <c r="B51" s="183" t="s">
        <v>352</v>
      </c>
      <c r="C51" s="183"/>
      <c r="D51" s="183"/>
      <c r="E51" s="183"/>
      <c r="F51" s="183"/>
      <c r="G51" s="183"/>
      <c r="H51" s="183"/>
      <c r="I51" s="183"/>
      <c r="J51" s="187">
        <v>2.99</v>
      </c>
      <c r="K51" s="9"/>
      <c r="L51" s="57">
        <f>SUM(L4:L50)</f>
        <v>1.329413453111306</v>
      </c>
      <c r="M51" s="9"/>
      <c r="N51" s="9"/>
      <c r="O51" s="9"/>
      <c r="P51" s="9"/>
      <c r="Q51" s="9"/>
      <c r="R51" s="9"/>
    </row>
    <row r="52" spans="1:18" ht="22.5" customHeight="1" x14ac:dyDescent="0.25">
      <c r="A52" s="180"/>
      <c r="B52" s="9"/>
      <c r="C52" s="9"/>
      <c r="D52" s="9"/>
      <c r="E52" s="9"/>
      <c r="F52" s="9"/>
      <c r="G52" s="9"/>
      <c r="H52" s="9"/>
      <c r="I52" s="9"/>
      <c r="J52" s="188"/>
      <c r="K52" s="9"/>
      <c r="L52" s="9"/>
      <c r="M52" s="9"/>
      <c r="N52" s="9"/>
      <c r="O52" s="9"/>
      <c r="P52" s="9"/>
      <c r="Q52" s="9"/>
      <c r="R52" s="9"/>
    </row>
    <row r="53" spans="1:18" ht="22.5" customHeight="1" x14ac:dyDescent="0.25">
      <c r="A53" s="182"/>
      <c r="B53" s="183" t="s">
        <v>353</v>
      </c>
      <c r="C53" s="183"/>
      <c r="D53" s="183"/>
      <c r="E53" s="183"/>
      <c r="F53" s="183"/>
      <c r="G53" s="183"/>
      <c r="H53" s="183"/>
      <c r="I53" s="183"/>
      <c r="J53" s="184">
        <f>SUM(J47:J52)</f>
        <v>6845.433</v>
      </c>
      <c r="K53" s="9"/>
      <c r="L53" s="9"/>
      <c r="M53" s="9"/>
      <c r="N53" s="9"/>
      <c r="O53" s="9"/>
      <c r="P53" s="9"/>
      <c r="Q53" s="9"/>
      <c r="R53" s="9"/>
    </row>
    <row r="54" spans="1:18" ht="22.5" customHeight="1" x14ac:dyDescent="0.25">
      <c r="A54" s="180"/>
      <c r="B54" s="9"/>
      <c r="C54" s="9"/>
      <c r="D54" s="9"/>
      <c r="E54" s="9"/>
      <c r="F54" s="9"/>
      <c r="G54" s="9"/>
      <c r="H54" s="9"/>
      <c r="I54" s="9"/>
      <c r="J54" s="185"/>
      <c r="K54" s="9"/>
      <c r="L54" s="9"/>
      <c r="M54" s="9"/>
      <c r="N54" s="9"/>
      <c r="O54" s="9"/>
      <c r="P54" s="9"/>
      <c r="Q54" s="9"/>
      <c r="R54" s="9"/>
    </row>
    <row r="55" spans="1:18" ht="22.5" customHeight="1" x14ac:dyDescent="0.25">
      <c r="A55" s="180"/>
      <c r="B55" s="9" t="s">
        <v>354</v>
      </c>
      <c r="C55" s="9"/>
      <c r="D55" s="9"/>
      <c r="E55" s="9"/>
      <c r="F55" s="9"/>
      <c r="G55" s="9"/>
      <c r="H55" s="9"/>
      <c r="I55" s="57">
        <v>0.25</v>
      </c>
      <c r="J55" s="188"/>
      <c r="K55" s="9"/>
      <c r="L55" s="9"/>
      <c r="M55" s="9"/>
      <c r="N55" s="9"/>
      <c r="O55" s="9"/>
      <c r="P55" s="9"/>
      <c r="Q55" s="9"/>
      <c r="R55" s="9"/>
    </row>
    <row r="56" spans="1:18" ht="22.5" customHeight="1" x14ac:dyDescent="0.25">
      <c r="A56" s="182"/>
      <c r="B56" s="183" t="s">
        <v>355</v>
      </c>
      <c r="C56" s="183"/>
      <c r="D56" s="183"/>
      <c r="E56" s="183"/>
      <c r="F56" s="183"/>
      <c r="G56" s="183"/>
      <c r="H56" s="183"/>
      <c r="I56" s="183"/>
      <c r="J56" s="184">
        <f>ROUNDUP(J53/(1-I55),0)</f>
        <v>9128</v>
      </c>
      <c r="K56" s="177">
        <v>3502.3029999999999</v>
      </c>
      <c r="L56" s="9">
        <v>3632.2630000000008</v>
      </c>
      <c r="M56" s="9"/>
      <c r="N56" s="9"/>
      <c r="O56" s="9"/>
      <c r="P56" s="9"/>
      <c r="Q56" s="9"/>
      <c r="R56" s="9"/>
    </row>
    <row r="57" spans="1:18" ht="22.5" customHeight="1" x14ac:dyDescent="0.25">
      <c r="A57" s="180"/>
      <c r="B57" s="9"/>
      <c r="C57" s="9"/>
      <c r="D57" s="9"/>
      <c r="E57" s="9"/>
      <c r="F57" s="9"/>
      <c r="G57" s="9"/>
      <c r="H57" s="9"/>
      <c r="I57" s="9"/>
      <c r="J57" s="188"/>
      <c r="K57" s="9"/>
      <c r="L57" s="9"/>
      <c r="M57" s="9"/>
      <c r="N57" s="9"/>
      <c r="O57" s="9"/>
      <c r="P57" s="9"/>
      <c r="Q57" s="9"/>
      <c r="R57" s="9"/>
    </row>
    <row r="58" spans="1:18" ht="22.5" customHeight="1" x14ac:dyDescent="0.25">
      <c r="A58" s="182"/>
      <c r="B58" s="183" t="s">
        <v>356</v>
      </c>
      <c r="C58" s="183"/>
      <c r="D58" s="183"/>
      <c r="E58" s="183"/>
      <c r="F58" s="183"/>
      <c r="G58" s="183"/>
      <c r="H58" s="183"/>
      <c r="I58" s="183"/>
      <c r="J58" s="186">
        <f>J56-J53</f>
        <v>2282.567</v>
      </c>
      <c r="K58" s="9"/>
      <c r="L58" s="9"/>
      <c r="M58" s="9"/>
      <c r="N58" s="9"/>
      <c r="O58" s="9"/>
      <c r="P58" s="9"/>
      <c r="Q58" s="9"/>
      <c r="R58" s="9"/>
    </row>
    <row r="59" spans="1:18" ht="22.5" customHeight="1" x14ac:dyDescent="0.25">
      <c r="A59" s="180"/>
      <c r="B59" s="9"/>
      <c r="C59" s="9"/>
      <c r="D59" s="9"/>
      <c r="E59" s="9"/>
      <c r="F59" s="9"/>
      <c r="G59" s="9"/>
      <c r="H59" s="9"/>
      <c r="I59" s="9"/>
      <c r="J59" s="188"/>
      <c r="K59" s="9"/>
      <c r="L59" s="9"/>
      <c r="M59" s="9"/>
      <c r="N59" s="9"/>
      <c r="O59" s="9"/>
      <c r="P59" s="9"/>
      <c r="Q59" s="9"/>
      <c r="R59" s="9"/>
    </row>
    <row r="60" spans="1:18" ht="22.5" customHeight="1" x14ac:dyDescent="0.25">
      <c r="A60" s="182"/>
      <c r="B60" s="183" t="s">
        <v>39</v>
      </c>
      <c r="C60" s="183"/>
      <c r="D60" s="183"/>
      <c r="E60" s="183"/>
      <c r="F60" s="183"/>
      <c r="G60" s="183"/>
      <c r="H60" s="183"/>
      <c r="I60" s="189">
        <v>0.24</v>
      </c>
      <c r="J60" s="184">
        <f>I60*J56</f>
        <v>2190.7199999999998</v>
      </c>
      <c r="K60" s="177">
        <v>18798.400000000001</v>
      </c>
      <c r="L60" s="177">
        <v>19495.28</v>
      </c>
      <c r="M60" s="9"/>
      <c r="N60" s="9"/>
      <c r="O60" s="9"/>
      <c r="P60" s="9"/>
      <c r="Q60" s="9"/>
      <c r="R60" s="9"/>
    </row>
    <row r="61" spans="1:18" ht="15.75" customHeight="1" x14ac:dyDescent="0.25">
      <c r="A61" s="180"/>
      <c r="B61" s="9"/>
      <c r="C61" s="9"/>
      <c r="D61" s="9"/>
      <c r="E61" s="9"/>
      <c r="F61" s="9"/>
      <c r="G61" s="9"/>
      <c r="H61" s="9"/>
      <c r="I61" s="9"/>
      <c r="J61" s="188"/>
      <c r="K61" s="9"/>
      <c r="L61" s="9"/>
      <c r="M61" s="9"/>
      <c r="N61" s="9"/>
      <c r="O61" s="9"/>
      <c r="P61" s="9"/>
      <c r="Q61" s="9"/>
      <c r="R61" s="9"/>
    </row>
    <row r="62" spans="1:18" ht="16.5" customHeight="1" thickBot="1" x14ac:dyDescent="0.3">
      <c r="A62" s="190"/>
      <c r="B62" s="191" t="s">
        <v>357</v>
      </c>
      <c r="C62" s="191"/>
      <c r="D62" s="191"/>
      <c r="E62" s="191"/>
      <c r="F62" s="191"/>
      <c r="G62" s="191"/>
      <c r="H62" s="191"/>
      <c r="I62" s="191"/>
      <c r="J62" s="192">
        <f>J60+J56</f>
        <v>11318.72</v>
      </c>
      <c r="K62" s="9"/>
      <c r="L62" s="9"/>
      <c r="M62" s="9"/>
      <c r="N62" s="9"/>
      <c r="O62" s="9"/>
      <c r="P62" s="9"/>
      <c r="Q62" s="9"/>
      <c r="R62" s="9"/>
    </row>
    <row r="63" spans="1:18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1:18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8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1:18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</row>
    <row r="67" spans="1:18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</row>
    <row r="68" spans="1:18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1:18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 spans="1:18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18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18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8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18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 spans="1:18" x14ac:dyDescent="0.25">
      <c r="A75" s="9"/>
      <c r="B75" s="63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</row>
  </sheetData>
  <pageMargins left="0.70866141732283472" right="0.70866141732283472" top="0.74803149606299213" bottom="0.74803149606299213" header="0.31496062992125978" footer="0.31496062992125978"/>
  <pageSetup paperSize="9" fitToHeight="0" orientation="landscape" r:id="rId1"/>
  <headerFooter>
    <oddFooter>&amp;L&amp;F&amp;R&amp;P/&amp;N</oddFooter>
  </headerFooter>
  <tableParts count="1">
    <tablePart r:id="rId2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5" filterMode="1">
    <pageSetUpPr fitToPage="1"/>
  </sheetPr>
  <dimension ref="A2:G49"/>
  <sheetViews>
    <sheetView topLeftCell="A28" workbookViewId="0">
      <selection activeCell="C32" sqref="C32:C58"/>
    </sheetView>
  </sheetViews>
  <sheetFormatPr defaultRowHeight="15" x14ac:dyDescent="0.25"/>
  <cols>
    <col min="2" max="2" width="90.7109375" bestFit="1" customWidth="1"/>
    <col min="3" max="3" width="6.140625" customWidth="1"/>
    <col min="4" max="4" width="9.7109375" customWidth="1"/>
    <col min="5" max="6" width="7.42578125" bestFit="1" customWidth="1"/>
  </cols>
  <sheetData>
    <row r="2" spans="1:7" ht="27" customHeight="1" x14ac:dyDescent="0.25">
      <c r="A2" s="196" t="s">
        <v>24</v>
      </c>
      <c r="B2" s="196" t="s">
        <v>358</v>
      </c>
      <c r="C2" s="196"/>
      <c r="D2" s="196" t="s">
        <v>359</v>
      </c>
      <c r="E2" s="197" t="s">
        <v>360</v>
      </c>
      <c r="F2" s="197" t="s">
        <v>361</v>
      </c>
      <c r="G2" s="9"/>
    </row>
    <row r="3" spans="1:7" x14ac:dyDescent="0.25">
      <c r="A3" s="122">
        <v>1</v>
      </c>
      <c r="B3" s="138" t="s">
        <v>362</v>
      </c>
      <c r="C3" s="138"/>
      <c r="D3" s="138"/>
      <c r="E3" s="9"/>
      <c r="F3" s="67">
        <v>2</v>
      </c>
      <c r="G3" s="9"/>
    </row>
    <row r="4" spans="1:7" x14ac:dyDescent="0.25">
      <c r="A4" s="122">
        <v>2</v>
      </c>
      <c r="B4" s="138" t="s">
        <v>363</v>
      </c>
      <c r="C4" s="138"/>
      <c r="D4" s="138"/>
      <c r="E4" s="9"/>
      <c r="F4" s="67">
        <v>2</v>
      </c>
      <c r="G4" s="9"/>
    </row>
    <row r="5" spans="1:7" x14ac:dyDescent="0.25">
      <c r="A5" s="122">
        <v>3</v>
      </c>
      <c r="B5" s="138" t="s">
        <v>364</v>
      </c>
      <c r="C5" s="138"/>
      <c r="D5" s="138"/>
      <c r="E5" s="9"/>
      <c r="F5" s="67">
        <v>3</v>
      </c>
      <c r="G5" s="9"/>
    </row>
    <row r="6" spans="1:7" x14ac:dyDescent="0.25">
      <c r="A6" s="122">
        <v>4</v>
      </c>
      <c r="B6" s="138" t="s">
        <v>365</v>
      </c>
      <c r="C6" s="138"/>
      <c r="D6" s="138"/>
      <c r="E6" s="67">
        <v>1</v>
      </c>
      <c r="F6" s="9"/>
      <c r="G6" s="9"/>
    </row>
    <row r="7" spans="1:7" x14ac:dyDescent="0.25">
      <c r="A7" s="122">
        <v>5</v>
      </c>
      <c r="B7" s="138" t="s">
        <v>366</v>
      </c>
      <c r="C7" s="138"/>
      <c r="D7" s="138"/>
      <c r="E7" s="67">
        <v>1</v>
      </c>
      <c r="F7" s="9"/>
      <c r="G7" s="9"/>
    </row>
    <row r="8" spans="1:7" x14ac:dyDescent="0.25">
      <c r="A8" s="122">
        <v>6</v>
      </c>
      <c r="B8" s="138" t="s">
        <v>367</v>
      </c>
      <c r="C8" s="138"/>
      <c r="D8" s="138"/>
      <c r="E8" s="67">
        <v>1</v>
      </c>
      <c r="F8" s="9"/>
      <c r="G8" s="9"/>
    </row>
    <row r="9" spans="1:7" x14ac:dyDescent="0.25">
      <c r="A9" s="122">
        <v>7</v>
      </c>
      <c r="B9" s="138" t="s">
        <v>368</v>
      </c>
      <c r="C9" s="138"/>
      <c r="D9" s="138"/>
      <c r="E9" s="9"/>
      <c r="F9" s="9"/>
      <c r="G9" s="9"/>
    </row>
    <row r="10" spans="1:7" x14ac:dyDescent="0.25">
      <c r="A10" s="122">
        <v>8</v>
      </c>
      <c r="B10" s="138" t="s">
        <v>369</v>
      </c>
      <c r="C10" s="138"/>
      <c r="D10" s="138"/>
      <c r="E10" s="67">
        <v>0.5</v>
      </c>
      <c r="F10" s="9"/>
      <c r="G10" s="9"/>
    </row>
    <row r="11" spans="1:7" x14ac:dyDescent="0.25">
      <c r="A11" s="122">
        <v>9</v>
      </c>
      <c r="B11" s="138" t="s">
        <v>370</v>
      </c>
      <c r="C11" s="138"/>
      <c r="D11" s="138"/>
      <c r="E11" s="67">
        <v>0.5</v>
      </c>
      <c r="F11" s="9"/>
      <c r="G11" s="9"/>
    </row>
    <row r="12" spans="1:7" hidden="1" x14ac:dyDescent="0.25">
      <c r="A12" s="1">
        <v>10</v>
      </c>
      <c r="B12" s="5" t="s">
        <v>371</v>
      </c>
      <c r="C12" s="5"/>
      <c r="D12" s="5"/>
      <c r="E12" s="6">
        <v>0</v>
      </c>
    </row>
    <row r="13" spans="1:7" ht="21" customHeight="1" x14ac:dyDescent="0.25">
      <c r="A13" s="122">
        <v>11</v>
      </c>
      <c r="B13" s="138" t="s">
        <v>372</v>
      </c>
      <c r="C13" s="138"/>
      <c r="D13" s="138"/>
      <c r="E13" s="67">
        <v>0.5</v>
      </c>
      <c r="F13" s="9"/>
      <c r="G13" s="9"/>
    </row>
    <row r="14" spans="1:7" ht="48.95" hidden="1" customHeight="1" x14ac:dyDescent="0.25">
      <c r="A14" s="1">
        <v>12</v>
      </c>
      <c r="B14" s="4" t="s">
        <v>373</v>
      </c>
      <c r="C14" s="4"/>
      <c r="D14" s="4"/>
      <c r="E14" s="6">
        <v>0</v>
      </c>
    </row>
    <row r="15" spans="1:7" ht="33.4" hidden="1" customHeight="1" x14ac:dyDescent="0.25">
      <c r="A15" s="1">
        <v>14</v>
      </c>
      <c r="B15" s="4" t="s">
        <v>374</v>
      </c>
      <c r="C15" s="4"/>
      <c r="D15" s="4"/>
      <c r="E15" s="6">
        <v>0</v>
      </c>
    </row>
    <row r="16" spans="1:7" ht="33.4" customHeight="1" x14ac:dyDescent="0.25">
      <c r="A16" s="122">
        <v>14</v>
      </c>
      <c r="B16" s="138" t="s">
        <v>375</v>
      </c>
      <c r="C16" s="138"/>
      <c r="D16" s="138"/>
      <c r="E16" s="67">
        <v>0.25</v>
      </c>
      <c r="F16" s="9"/>
      <c r="G16" s="9"/>
    </row>
    <row r="17" spans="1:7" ht="33.4" customHeight="1" x14ac:dyDescent="0.25">
      <c r="A17" s="122">
        <v>14</v>
      </c>
      <c r="B17" s="138" t="s">
        <v>376</v>
      </c>
      <c r="C17" s="138"/>
      <c r="D17" s="138"/>
      <c r="E17" s="67">
        <v>0.25</v>
      </c>
      <c r="F17" s="9"/>
      <c r="G17" s="9"/>
    </row>
    <row r="18" spans="1:7" ht="30" hidden="1" customHeight="1" x14ac:dyDescent="0.25">
      <c r="A18" s="1">
        <v>16</v>
      </c>
      <c r="B18" s="4" t="s">
        <v>377</v>
      </c>
      <c r="C18" s="4"/>
      <c r="D18" s="4"/>
      <c r="E18" s="6">
        <v>0</v>
      </c>
    </row>
    <row r="19" spans="1:7" ht="27" customHeight="1" x14ac:dyDescent="0.25">
      <c r="A19" s="122">
        <v>17</v>
      </c>
      <c r="B19" s="138" t="s">
        <v>378</v>
      </c>
      <c r="C19" s="138"/>
      <c r="D19" s="138"/>
      <c r="E19" s="67">
        <v>1</v>
      </c>
      <c r="F19" s="9"/>
      <c r="G19" s="9"/>
    </row>
    <row r="20" spans="1:7" ht="29.25" customHeight="1" x14ac:dyDescent="0.25">
      <c r="A20" s="122">
        <v>18</v>
      </c>
      <c r="B20" s="138" t="s">
        <v>379</v>
      </c>
      <c r="C20" s="138"/>
      <c r="D20" s="138"/>
      <c r="E20" s="67">
        <v>1</v>
      </c>
      <c r="F20" s="9"/>
      <c r="G20" s="9"/>
    </row>
    <row r="21" spans="1:7" x14ac:dyDescent="0.25">
      <c r="A21" s="122">
        <v>19</v>
      </c>
      <c r="B21" s="138" t="s">
        <v>380</v>
      </c>
      <c r="C21" s="138"/>
      <c r="D21" s="138"/>
      <c r="E21" s="67">
        <v>1</v>
      </c>
      <c r="F21" s="9"/>
      <c r="G21" s="9"/>
    </row>
    <row r="22" spans="1:7" ht="24" customHeight="1" x14ac:dyDescent="0.25">
      <c r="A22" s="122">
        <v>20</v>
      </c>
      <c r="B22" s="138" t="s">
        <v>381</v>
      </c>
      <c r="C22" s="138"/>
      <c r="D22" s="138"/>
      <c r="E22" s="67">
        <v>1</v>
      </c>
      <c r="F22" s="9"/>
      <c r="G22" s="9"/>
    </row>
    <row r="23" spans="1:7" hidden="1" x14ac:dyDescent="0.25">
      <c r="A23" s="1">
        <v>21</v>
      </c>
      <c r="B23" s="5" t="s">
        <v>382</v>
      </c>
      <c r="C23" s="5"/>
      <c r="D23" s="5"/>
      <c r="E23" s="6">
        <v>0</v>
      </c>
    </row>
    <row r="24" spans="1:7" x14ac:dyDescent="0.25">
      <c r="A24" s="122">
        <v>22</v>
      </c>
      <c r="B24" s="138" t="s">
        <v>383</v>
      </c>
      <c r="C24" s="138"/>
      <c r="D24" s="138"/>
      <c r="E24" s="67">
        <v>1</v>
      </c>
      <c r="F24" s="9"/>
      <c r="G24" s="9"/>
    </row>
    <row r="25" spans="1:7" hidden="1" x14ac:dyDescent="0.25">
      <c r="A25" s="1">
        <v>24</v>
      </c>
      <c r="B25" s="5" t="s">
        <v>384</v>
      </c>
      <c r="C25" s="5"/>
      <c r="D25" s="5"/>
      <c r="E25" s="6">
        <v>0</v>
      </c>
    </row>
    <row r="26" spans="1:7" hidden="1" x14ac:dyDescent="0.25">
      <c r="A26" s="1">
        <v>25</v>
      </c>
      <c r="B26" s="5" t="s">
        <v>385</v>
      </c>
      <c r="C26" s="5"/>
      <c r="D26" s="5"/>
      <c r="E26" s="6">
        <v>0</v>
      </c>
    </row>
    <row r="27" spans="1:7" ht="25.5" x14ac:dyDescent="0.25">
      <c r="A27" s="122">
        <v>26</v>
      </c>
      <c r="B27" s="138" t="s">
        <v>386</v>
      </c>
      <c r="C27" s="138"/>
      <c r="D27" s="138"/>
      <c r="E27" s="138"/>
      <c r="F27" s="67">
        <v>2</v>
      </c>
      <c r="G27" s="9"/>
    </row>
    <row r="28" spans="1:7" x14ac:dyDescent="0.25">
      <c r="A28" s="122">
        <v>27</v>
      </c>
      <c r="B28" s="138" t="s">
        <v>387</v>
      </c>
      <c r="C28" s="138"/>
      <c r="D28" s="67">
        <v>4</v>
      </c>
      <c r="E28" s="9"/>
      <c r="F28" s="9"/>
      <c r="G28" s="9"/>
    </row>
    <row r="29" spans="1:7" ht="15.75" customHeight="1" thickBot="1" x14ac:dyDescent="0.3">
      <c r="A29" s="9"/>
      <c r="B29" s="9"/>
      <c r="C29" s="9"/>
      <c r="D29" s="9"/>
      <c r="E29" s="9"/>
      <c r="F29" s="9"/>
      <c r="G29" s="9"/>
    </row>
    <row r="30" spans="1:7" ht="16.5" customHeight="1" thickTop="1" thickBot="1" x14ac:dyDescent="0.3">
      <c r="A30" s="198"/>
      <c r="B30" s="198" t="s">
        <v>388</v>
      </c>
      <c r="C30" s="198"/>
      <c r="D30" s="198">
        <f>SUM(D3:D29)</f>
        <v>4</v>
      </c>
      <c r="E30" s="198">
        <f>SUM(E3:E29)</f>
        <v>10</v>
      </c>
      <c r="F30" s="198">
        <f>SUM(F3:F29)</f>
        <v>9</v>
      </c>
      <c r="G30" s="9"/>
    </row>
    <row r="31" spans="1:7" ht="15.75" customHeight="1" thickTop="1" x14ac:dyDescent="0.25">
      <c r="A31" s="9"/>
      <c r="B31" s="199" t="s">
        <v>389</v>
      </c>
      <c r="C31" s="199">
        <v>8</v>
      </c>
      <c r="D31" s="199">
        <f>D30/$C$31</f>
        <v>0.5</v>
      </c>
      <c r="E31" s="199">
        <f>E30/$C$31</f>
        <v>1.25</v>
      </c>
      <c r="F31" s="199">
        <f>F30/$C$31</f>
        <v>1.125</v>
      </c>
      <c r="G31" s="9"/>
    </row>
    <row r="32" spans="1:7" x14ac:dyDescent="0.25">
      <c r="A32" s="9"/>
      <c r="B32" s="200" t="s">
        <v>390</v>
      </c>
      <c r="C32" s="200"/>
      <c r="D32" s="200">
        <f>D31*E34</f>
        <v>250</v>
      </c>
      <c r="E32" s="200">
        <f>E31*E35</f>
        <v>625</v>
      </c>
      <c r="F32" s="200">
        <f>F31*E36</f>
        <v>675</v>
      </c>
      <c r="G32" s="200">
        <f>SUM(D32:F32)</f>
        <v>1550</v>
      </c>
    </row>
    <row r="33" spans="1:7" x14ac:dyDescent="0.25">
      <c r="A33" s="9"/>
      <c r="B33" s="9"/>
      <c r="C33" s="9"/>
      <c r="D33" s="9"/>
      <c r="E33" s="9"/>
      <c r="F33" s="9"/>
      <c r="G33" s="9"/>
    </row>
    <row r="34" spans="1:7" x14ac:dyDescent="0.25">
      <c r="A34" s="9"/>
      <c r="B34" s="199" t="s">
        <v>391</v>
      </c>
      <c r="C34" s="199"/>
      <c r="D34" s="199"/>
      <c r="E34" s="199">
        <v>500</v>
      </c>
      <c r="F34" s="9"/>
      <c r="G34" s="9"/>
    </row>
    <row r="35" spans="1:7" x14ac:dyDescent="0.25">
      <c r="A35" s="9"/>
      <c r="B35" s="199" t="s">
        <v>392</v>
      </c>
      <c r="C35" s="199"/>
      <c r="D35" s="199"/>
      <c r="E35" s="199">
        <v>500</v>
      </c>
      <c r="F35" s="9"/>
      <c r="G35" s="9"/>
    </row>
    <row r="36" spans="1:7" x14ac:dyDescent="0.25">
      <c r="A36" s="9"/>
      <c r="B36" s="199" t="s">
        <v>393</v>
      </c>
      <c r="C36" s="199"/>
      <c r="D36" s="199"/>
      <c r="E36" s="199">
        <v>600</v>
      </c>
      <c r="F36" s="9"/>
      <c r="G36" s="9"/>
    </row>
    <row r="37" spans="1:7" x14ac:dyDescent="0.25">
      <c r="A37" s="9"/>
      <c r="B37" s="9"/>
      <c r="C37" s="9"/>
      <c r="D37" s="9"/>
      <c r="E37" s="9"/>
      <c r="F37" s="9"/>
      <c r="G37" s="9"/>
    </row>
    <row r="38" spans="1:7" x14ac:dyDescent="0.25">
      <c r="A38" s="9"/>
      <c r="B38" s="9"/>
      <c r="C38" s="9"/>
      <c r="D38" s="9"/>
      <c r="E38" s="9"/>
      <c r="F38" s="9"/>
      <c r="G38" s="9"/>
    </row>
    <row r="39" spans="1:7" x14ac:dyDescent="0.25">
      <c r="A39" s="9"/>
      <c r="B39" s="9"/>
      <c r="C39" s="9"/>
      <c r="D39" s="9"/>
      <c r="E39" s="58"/>
      <c r="F39" s="58"/>
      <c r="G39" s="9"/>
    </row>
    <row r="40" spans="1:7" x14ac:dyDescent="0.25">
      <c r="A40" s="9"/>
      <c r="B40" s="9"/>
      <c r="C40" s="9"/>
      <c r="D40" s="9"/>
      <c r="E40" s="58"/>
      <c r="F40" s="58"/>
      <c r="G40" s="9"/>
    </row>
    <row r="41" spans="1:7" x14ac:dyDescent="0.25">
      <c r="A41" s="9"/>
      <c r="B41" s="9"/>
      <c r="C41" s="9"/>
      <c r="D41" s="9"/>
      <c r="E41" s="58"/>
      <c r="F41" s="58"/>
      <c r="G41" s="9"/>
    </row>
    <row r="42" spans="1:7" x14ac:dyDescent="0.25">
      <c r="A42" s="9"/>
      <c r="B42" s="9"/>
      <c r="C42" s="9"/>
      <c r="D42" s="9"/>
      <c r="E42" s="58"/>
      <c r="F42" s="58"/>
      <c r="G42" s="9"/>
    </row>
    <row r="43" spans="1:7" x14ac:dyDescent="0.25">
      <c r="A43" s="9"/>
      <c r="B43" s="9"/>
      <c r="C43" s="9"/>
      <c r="D43" s="9"/>
      <c r="E43" s="58"/>
      <c r="F43" s="58"/>
      <c r="G43" s="9"/>
    </row>
    <row r="44" spans="1:7" x14ac:dyDescent="0.25">
      <c r="A44" s="9"/>
      <c r="B44" s="9"/>
      <c r="C44" s="9"/>
      <c r="D44" s="9"/>
      <c r="E44" s="58"/>
      <c r="F44" s="58"/>
      <c r="G44" s="9"/>
    </row>
    <row r="45" spans="1:7" x14ac:dyDescent="0.25">
      <c r="A45" s="9"/>
      <c r="B45" s="9"/>
      <c r="C45" s="9"/>
      <c r="D45" s="9"/>
      <c r="E45" s="58"/>
      <c r="F45" s="58"/>
      <c r="G45" s="9"/>
    </row>
    <row r="46" spans="1:7" x14ac:dyDescent="0.25">
      <c r="A46" s="9"/>
      <c r="B46" s="9"/>
      <c r="C46" s="9"/>
      <c r="D46" s="9"/>
      <c r="E46" s="58"/>
      <c r="F46" s="58"/>
      <c r="G46" s="9"/>
    </row>
    <row r="47" spans="1:7" x14ac:dyDescent="0.25">
      <c r="A47" s="9"/>
      <c r="B47" s="63"/>
      <c r="C47" s="63"/>
      <c r="D47" s="63"/>
      <c r="E47" s="58"/>
      <c r="F47" s="58"/>
      <c r="G47" s="9"/>
    </row>
    <row r="48" spans="1:7" x14ac:dyDescent="0.25">
      <c r="A48" s="9"/>
      <c r="B48" s="9"/>
      <c r="C48" s="9"/>
      <c r="D48" s="9"/>
      <c r="E48" s="58"/>
      <c r="F48" s="58"/>
      <c r="G48" s="9"/>
    </row>
    <row r="49" spans="1:7" x14ac:dyDescent="0.25">
      <c r="A49" s="9"/>
      <c r="B49" s="9"/>
      <c r="C49" s="9"/>
      <c r="D49" s="9"/>
      <c r="E49" s="58"/>
      <c r="F49" s="58"/>
      <c r="G49" s="9"/>
    </row>
  </sheetData>
  <autoFilter ref="A3:F28" xr:uid="{00000000-0009-0000-0000-000017000000}">
    <filterColumn colId="4">
      <filters blank="1">
        <filter val="0.25"/>
        <filter val="0.5"/>
        <filter val="1"/>
      </filters>
    </filterColumn>
  </autoFilter>
  <printOptions horizontalCentered="1"/>
  <pageMargins left="3.937007874015748E-2" right="3.937007874015748E-2" top="0.35433070866141742" bottom="0.35433070866141742" header="0.31496062992125978" footer="0.31496062992125978"/>
  <pageSetup paperSize="9" scale="70" fitToHeight="0" orientation="landscape" r:id="rId1"/>
  <headerFooter>
    <oddFooter>&amp;C&amp;14 &amp;K04+000&amp;A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6" filterMode="1">
    <pageSetUpPr fitToPage="1"/>
  </sheetPr>
  <dimension ref="A2:I52"/>
  <sheetViews>
    <sheetView zoomScale="90" zoomScaleNormal="90" workbookViewId="0">
      <selection activeCell="Q40" sqref="Q40"/>
    </sheetView>
  </sheetViews>
  <sheetFormatPr defaultRowHeight="15" x14ac:dyDescent="0.25"/>
  <cols>
    <col min="2" max="2" width="25.85546875" customWidth="1"/>
    <col min="3" max="3" width="51.7109375" customWidth="1"/>
    <col min="4" max="4" width="5.5703125" customWidth="1"/>
    <col min="5" max="5" width="7.5703125" customWidth="1"/>
    <col min="6" max="6" width="7.85546875" customWidth="1"/>
    <col min="8" max="8" width="15.42578125" bestFit="1" customWidth="1"/>
  </cols>
  <sheetData>
    <row r="2" spans="1:9" ht="25.5" x14ac:dyDescent="0.25">
      <c r="A2" s="122" t="s">
        <v>394</v>
      </c>
      <c r="B2" s="122" t="s">
        <v>395</v>
      </c>
      <c r="C2" s="122" t="s">
        <v>358</v>
      </c>
      <c r="D2" s="122"/>
      <c r="E2" s="122" t="s">
        <v>396</v>
      </c>
      <c r="F2" s="122" t="s">
        <v>279</v>
      </c>
      <c r="G2" s="122" t="s">
        <v>397</v>
      </c>
      <c r="H2" s="122" t="s">
        <v>398</v>
      </c>
      <c r="I2" s="122" t="s">
        <v>399</v>
      </c>
    </row>
    <row r="3" spans="1:9" x14ac:dyDescent="0.25">
      <c r="A3" s="122">
        <v>1</v>
      </c>
      <c r="B3" s="138" t="s">
        <v>400</v>
      </c>
      <c r="C3" s="138" t="s">
        <v>401</v>
      </c>
      <c r="D3" s="138"/>
      <c r="E3" s="122">
        <v>73596</v>
      </c>
      <c r="F3" s="122" t="s">
        <v>287</v>
      </c>
      <c r="G3" s="122">
        <v>2</v>
      </c>
      <c r="H3" s="122">
        <v>32.695</v>
      </c>
      <c r="I3" s="202">
        <f t="shared" ref="I3:I41" si="0">H3*G3</f>
        <v>65.39</v>
      </c>
    </row>
    <row r="4" spans="1:9" hidden="1" x14ac:dyDescent="0.25">
      <c r="A4" s="1">
        <v>2</v>
      </c>
      <c r="B4" s="5" t="s">
        <v>402</v>
      </c>
      <c r="C4" s="5" t="s">
        <v>403</v>
      </c>
      <c r="D4" s="5"/>
      <c r="E4" s="1">
        <v>73598</v>
      </c>
      <c r="F4" s="1" t="s">
        <v>287</v>
      </c>
      <c r="G4" s="1">
        <v>0</v>
      </c>
      <c r="H4" s="1">
        <v>40.99</v>
      </c>
      <c r="I4" s="2">
        <f t="shared" si="0"/>
        <v>0</v>
      </c>
    </row>
    <row r="5" spans="1:9" hidden="1" x14ac:dyDescent="0.25">
      <c r="A5" s="1">
        <v>3</v>
      </c>
      <c r="B5" s="5" t="s">
        <v>404</v>
      </c>
      <c r="C5" s="5" t="s">
        <v>405</v>
      </c>
      <c r="D5" s="5"/>
      <c r="E5" s="1">
        <v>73593</v>
      </c>
      <c r="F5" s="1" t="s">
        <v>287</v>
      </c>
      <c r="G5" s="1">
        <v>0</v>
      </c>
      <c r="H5" s="1">
        <v>13.8</v>
      </c>
      <c r="I5" s="1">
        <f t="shared" si="0"/>
        <v>0</v>
      </c>
    </row>
    <row r="6" spans="1:9" hidden="1" x14ac:dyDescent="0.25">
      <c r="A6" s="1">
        <v>4</v>
      </c>
      <c r="B6" s="5" t="s">
        <v>406</v>
      </c>
      <c r="C6" s="5" t="s">
        <v>407</v>
      </c>
      <c r="D6" s="5"/>
      <c r="E6" s="1">
        <v>73624</v>
      </c>
      <c r="F6" s="1" t="s">
        <v>287</v>
      </c>
      <c r="G6" s="1">
        <v>0</v>
      </c>
      <c r="H6" s="1">
        <v>13.73</v>
      </c>
      <c r="I6" s="2">
        <f t="shared" si="0"/>
        <v>0</v>
      </c>
    </row>
    <row r="7" spans="1:9" hidden="1" x14ac:dyDescent="0.25">
      <c r="A7" s="1">
        <v>5</v>
      </c>
      <c r="B7" s="5" t="s">
        <v>408</v>
      </c>
      <c r="C7" s="5" t="s">
        <v>409</v>
      </c>
      <c r="D7" s="5"/>
      <c r="E7" s="1">
        <v>703505</v>
      </c>
      <c r="F7" s="1" t="s">
        <v>287</v>
      </c>
      <c r="G7" s="1">
        <v>0</v>
      </c>
      <c r="H7" s="1">
        <v>6.3479999999999999</v>
      </c>
      <c r="I7" s="2">
        <f t="shared" si="0"/>
        <v>0</v>
      </c>
    </row>
    <row r="8" spans="1:9" ht="15" customHeight="1" x14ac:dyDescent="0.25">
      <c r="A8" s="122">
        <v>6</v>
      </c>
      <c r="B8" s="138" t="s">
        <v>410</v>
      </c>
      <c r="C8" s="138" t="s">
        <v>411</v>
      </c>
      <c r="D8" s="138"/>
      <c r="E8" s="122">
        <v>73549</v>
      </c>
      <c r="F8" s="122" t="s">
        <v>287</v>
      </c>
      <c r="G8" s="122">
        <v>2</v>
      </c>
      <c r="H8" s="122">
        <v>10.587</v>
      </c>
      <c r="I8" s="202">
        <f t="shared" si="0"/>
        <v>21.173999999999999</v>
      </c>
    </row>
    <row r="9" spans="1:9" ht="15" hidden="1" customHeight="1" x14ac:dyDescent="0.25">
      <c r="A9" s="1">
        <v>7</v>
      </c>
      <c r="B9" s="5" t="s">
        <v>412</v>
      </c>
      <c r="C9" s="5" t="s">
        <v>413</v>
      </c>
      <c r="D9" s="5"/>
      <c r="E9" s="1">
        <v>73553</v>
      </c>
      <c r="F9" s="1" t="s">
        <v>287</v>
      </c>
      <c r="G9" s="1">
        <v>0</v>
      </c>
      <c r="H9" s="1">
        <v>10.587</v>
      </c>
      <c r="I9" s="2">
        <f t="shared" si="0"/>
        <v>0</v>
      </c>
    </row>
    <row r="10" spans="1:9" x14ac:dyDescent="0.25">
      <c r="A10" s="122">
        <v>8</v>
      </c>
      <c r="B10" s="138" t="s">
        <v>414</v>
      </c>
      <c r="C10" s="138" t="s">
        <v>415</v>
      </c>
      <c r="D10" s="138"/>
      <c r="E10" s="122">
        <v>25054</v>
      </c>
      <c r="F10" s="122" t="s">
        <v>287</v>
      </c>
      <c r="G10" s="122">
        <v>2</v>
      </c>
      <c r="H10" s="122">
        <v>49.32</v>
      </c>
      <c r="I10" s="202">
        <f t="shared" si="0"/>
        <v>98.64</v>
      </c>
    </row>
    <row r="11" spans="1:9" hidden="1" x14ac:dyDescent="0.25">
      <c r="A11" s="1">
        <v>9</v>
      </c>
      <c r="B11" s="5" t="s">
        <v>416</v>
      </c>
      <c r="C11" s="5" t="s">
        <v>417</v>
      </c>
      <c r="D11" s="5"/>
      <c r="E11" s="1">
        <v>25056</v>
      </c>
      <c r="F11" s="1" t="s">
        <v>287</v>
      </c>
      <c r="G11" s="1">
        <v>0</v>
      </c>
      <c r="H11" s="7">
        <v>133</v>
      </c>
      <c r="I11" s="2">
        <f t="shared" si="0"/>
        <v>0</v>
      </c>
    </row>
    <row r="12" spans="1:9" hidden="1" x14ac:dyDescent="0.25">
      <c r="A12" s="1">
        <v>10</v>
      </c>
      <c r="B12" s="5" t="s">
        <v>418</v>
      </c>
      <c r="C12" s="5" t="s">
        <v>419</v>
      </c>
      <c r="D12" s="5"/>
      <c r="E12" s="1">
        <v>25058</v>
      </c>
      <c r="F12" s="1" t="s">
        <v>287</v>
      </c>
      <c r="G12" s="1">
        <v>0</v>
      </c>
      <c r="H12" s="7">
        <v>178</v>
      </c>
      <c r="I12" s="2">
        <f t="shared" si="0"/>
        <v>0</v>
      </c>
    </row>
    <row r="13" spans="1:9" x14ac:dyDescent="0.25">
      <c r="A13" s="122">
        <v>11</v>
      </c>
      <c r="B13" s="138" t="s">
        <v>420</v>
      </c>
      <c r="C13" s="138" t="s">
        <v>421</v>
      </c>
      <c r="D13" s="138"/>
      <c r="E13" s="122">
        <v>44242</v>
      </c>
      <c r="F13" s="122" t="s">
        <v>287</v>
      </c>
      <c r="G13" s="122">
        <v>2</v>
      </c>
      <c r="H13" s="122">
        <v>7.25</v>
      </c>
      <c r="I13" s="202">
        <f t="shared" si="0"/>
        <v>14.5</v>
      </c>
    </row>
    <row r="14" spans="1:9" hidden="1" x14ac:dyDescent="0.25">
      <c r="A14" s="1">
        <v>12</v>
      </c>
      <c r="B14" s="5" t="s">
        <v>422</v>
      </c>
      <c r="C14" s="5" t="s">
        <v>421</v>
      </c>
      <c r="D14" s="5"/>
      <c r="E14" s="1">
        <v>79560</v>
      </c>
      <c r="F14" s="1" t="s">
        <v>287</v>
      </c>
      <c r="G14" s="1">
        <v>0</v>
      </c>
      <c r="H14" s="1">
        <v>12</v>
      </c>
      <c r="I14" s="2">
        <f t="shared" si="0"/>
        <v>0</v>
      </c>
    </row>
    <row r="15" spans="1:9" hidden="1" x14ac:dyDescent="0.25">
      <c r="A15" s="1">
        <v>13</v>
      </c>
      <c r="B15" s="5"/>
      <c r="C15" s="5" t="s">
        <v>423</v>
      </c>
      <c r="D15" s="5"/>
      <c r="E15" s="1"/>
      <c r="F15" s="1" t="s">
        <v>287</v>
      </c>
      <c r="G15" s="1">
        <v>0</v>
      </c>
      <c r="H15" s="1">
        <v>0.59</v>
      </c>
      <c r="I15" s="2">
        <f t="shared" si="0"/>
        <v>0</v>
      </c>
    </row>
    <row r="16" spans="1:9" x14ac:dyDescent="0.25">
      <c r="A16" s="122">
        <v>14</v>
      </c>
      <c r="B16" s="138"/>
      <c r="C16" s="138" t="s">
        <v>424</v>
      </c>
      <c r="D16" s="138"/>
      <c r="E16" s="122"/>
      <c r="F16" s="122" t="s">
        <v>287</v>
      </c>
      <c r="G16" s="122">
        <v>3</v>
      </c>
      <c r="H16" s="122">
        <v>0.59</v>
      </c>
      <c r="I16" s="202">
        <f t="shared" si="0"/>
        <v>1.77</v>
      </c>
    </row>
    <row r="17" spans="1:9" x14ac:dyDescent="0.25">
      <c r="A17" s="122">
        <v>15</v>
      </c>
      <c r="B17" s="138" t="s">
        <v>425</v>
      </c>
      <c r="C17" s="138" t="s">
        <v>426</v>
      </c>
      <c r="D17" s="138"/>
      <c r="E17" s="122">
        <v>80886</v>
      </c>
      <c r="F17" s="122" t="s">
        <v>287</v>
      </c>
      <c r="G17" s="122">
        <v>1</v>
      </c>
      <c r="H17" s="122">
        <v>62</v>
      </c>
      <c r="I17" s="202">
        <f t="shared" si="0"/>
        <v>62</v>
      </c>
    </row>
    <row r="18" spans="1:9" hidden="1" x14ac:dyDescent="0.25">
      <c r="A18" s="1">
        <v>16</v>
      </c>
      <c r="B18" s="5" t="s">
        <v>427</v>
      </c>
      <c r="C18" s="5" t="s">
        <v>428</v>
      </c>
      <c r="D18" s="5"/>
      <c r="E18" s="1">
        <v>42384</v>
      </c>
      <c r="F18" s="1" t="s">
        <v>287</v>
      </c>
      <c r="G18" s="7">
        <v>0</v>
      </c>
      <c r="H18" s="1">
        <v>94.81</v>
      </c>
      <c r="I18" s="2">
        <f t="shared" si="0"/>
        <v>0</v>
      </c>
    </row>
    <row r="19" spans="1:9" x14ac:dyDescent="0.25">
      <c r="A19" s="122">
        <v>17</v>
      </c>
      <c r="B19" s="138" t="s">
        <v>429</v>
      </c>
      <c r="C19" s="138" t="s">
        <v>430</v>
      </c>
      <c r="D19" s="138"/>
      <c r="E19" s="122"/>
      <c r="F19" s="122" t="s">
        <v>287</v>
      </c>
      <c r="G19" s="122">
        <v>2</v>
      </c>
      <c r="H19" s="122">
        <v>4.74</v>
      </c>
      <c r="I19" s="202">
        <f t="shared" si="0"/>
        <v>9.48</v>
      </c>
    </row>
    <row r="20" spans="1:9" x14ac:dyDescent="0.25">
      <c r="A20" s="122">
        <v>18</v>
      </c>
      <c r="B20" s="138"/>
      <c r="C20" s="138" t="s">
        <v>431</v>
      </c>
      <c r="D20" s="138"/>
      <c r="E20" s="122"/>
      <c r="F20" s="122" t="s">
        <v>287</v>
      </c>
      <c r="G20" s="122">
        <v>4</v>
      </c>
      <c r="H20" s="122">
        <v>5.37</v>
      </c>
      <c r="I20" s="202">
        <f t="shared" si="0"/>
        <v>21.48</v>
      </c>
    </row>
    <row r="21" spans="1:9" x14ac:dyDescent="0.25">
      <c r="A21" s="122">
        <v>19</v>
      </c>
      <c r="B21" s="138" t="s">
        <v>432</v>
      </c>
      <c r="C21" s="138" t="s">
        <v>433</v>
      </c>
      <c r="D21" s="138"/>
      <c r="E21" s="122">
        <v>710216</v>
      </c>
      <c r="F21" s="122" t="s">
        <v>287</v>
      </c>
      <c r="G21" s="201">
        <v>2</v>
      </c>
      <c r="H21" s="122">
        <v>61.44</v>
      </c>
      <c r="I21" s="202">
        <f t="shared" si="0"/>
        <v>122.88</v>
      </c>
    </row>
    <row r="22" spans="1:9" x14ac:dyDescent="0.25">
      <c r="A22" s="122">
        <v>20</v>
      </c>
      <c r="B22" s="138" t="s">
        <v>434</v>
      </c>
      <c r="C22" s="138" t="s">
        <v>435</v>
      </c>
      <c r="D22" s="138"/>
      <c r="E22" s="122">
        <v>25023</v>
      </c>
      <c r="F22" s="122" t="s">
        <v>287</v>
      </c>
      <c r="G22" s="122">
        <v>1</v>
      </c>
      <c r="H22" s="122">
        <v>17.84</v>
      </c>
      <c r="I22" s="202">
        <f t="shared" si="0"/>
        <v>17.84</v>
      </c>
    </row>
    <row r="23" spans="1:9" x14ac:dyDescent="0.25">
      <c r="A23" s="122">
        <v>21</v>
      </c>
      <c r="B23" s="138"/>
      <c r="C23" s="138" t="s">
        <v>436</v>
      </c>
      <c r="D23" s="138"/>
      <c r="E23" s="122"/>
      <c r="F23" s="122" t="s">
        <v>437</v>
      </c>
      <c r="G23" s="122">
        <v>3</v>
      </c>
      <c r="H23" s="122">
        <v>5.2649999999999997</v>
      </c>
      <c r="I23" s="202">
        <f t="shared" si="0"/>
        <v>15.794999999999998</v>
      </c>
    </row>
    <row r="24" spans="1:9" hidden="1" x14ac:dyDescent="0.25">
      <c r="A24" s="1">
        <v>22</v>
      </c>
      <c r="B24" s="5" t="s">
        <v>438</v>
      </c>
      <c r="C24" s="5" t="s">
        <v>439</v>
      </c>
      <c r="D24" s="5"/>
      <c r="E24" s="1"/>
      <c r="F24" s="1" t="s">
        <v>287</v>
      </c>
      <c r="G24" s="1">
        <v>0</v>
      </c>
      <c r="H24" s="1">
        <v>5.1680000000000001</v>
      </c>
      <c r="I24" s="2">
        <f t="shared" si="0"/>
        <v>0</v>
      </c>
    </row>
    <row r="25" spans="1:9" hidden="1" x14ac:dyDescent="0.25">
      <c r="A25" s="1">
        <v>23</v>
      </c>
      <c r="B25" s="5" t="s">
        <v>440</v>
      </c>
      <c r="C25" s="5" t="s">
        <v>441</v>
      </c>
      <c r="D25" s="5"/>
      <c r="E25" s="1"/>
      <c r="F25" s="1" t="s">
        <v>442</v>
      </c>
      <c r="G25" s="1">
        <v>0</v>
      </c>
      <c r="H25" s="1">
        <v>3.27</v>
      </c>
      <c r="I25" s="2">
        <f t="shared" si="0"/>
        <v>0</v>
      </c>
    </row>
    <row r="26" spans="1:9" hidden="1" x14ac:dyDescent="0.25">
      <c r="A26" s="1">
        <v>24</v>
      </c>
      <c r="B26" s="5" t="s">
        <v>443</v>
      </c>
      <c r="C26" s="5" t="s">
        <v>444</v>
      </c>
      <c r="D26" s="5"/>
      <c r="E26" s="1"/>
      <c r="F26" s="1" t="s">
        <v>442</v>
      </c>
      <c r="G26" s="1">
        <v>0</v>
      </c>
      <c r="H26" s="1">
        <v>4.5</v>
      </c>
      <c r="I26" s="2">
        <f t="shared" si="0"/>
        <v>0</v>
      </c>
    </row>
    <row r="27" spans="1:9" hidden="1" x14ac:dyDescent="0.25">
      <c r="A27" s="1">
        <v>25</v>
      </c>
      <c r="B27" s="5" t="s">
        <v>445</v>
      </c>
      <c r="C27" s="5" t="s">
        <v>446</v>
      </c>
      <c r="D27" s="5"/>
      <c r="E27" s="1"/>
      <c r="F27" s="1" t="s">
        <v>442</v>
      </c>
      <c r="G27" s="7">
        <v>0</v>
      </c>
      <c r="H27" s="1">
        <v>0.78900000000000003</v>
      </c>
      <c r="I27" s="2">
        <f t="shared" si="0"/>
        <v>0</v>
      </c>
    </row>
    <row r="28" spans="1:9" hidden="1" x14ac:dyDescent="0.25">
      <c r="A28" s="1">
        <v>26</v>
      </c>
      <c r="B28" s="5" t="s">
        <v>447</v>
      </c>
      <c r="C28" s="5" t="s">
        <v>448</v>
      </c>
      <c r="D28" s="5"/>
      <c r="E28" s="1"/>
      <c r="F28" s="1" t="s">
        <v>442</v>
      </c>
      <c r="G28" s="7">
        <v>0</v>
      </c>
      <c r="H28" s="1">
        <v>0.78900000000000003</v>
      </c>
      <c r="I28" s="2">
        <f t="shared" si="0"/>
        <v>0</v>
      </c>
    </row>
    <row r="29" spans="1:9" hidden="1" x14ac:dyDescent="0.25">
      <c r="A29" s="1">
        <v>27</v>
      </c>
      <c r="B29" s="5" t="s">
        <v>449</v>
      </c>
      <c r="C29" s="5" t="s">
        <v>450</v>
      </c>
      <c r="D29" s="5"/>
      <c r="E29" s="1"/>
      <c r="F29" s="1" t="s">
        <v>287</v>
      </c>
      <c r="G29" s="1">
        <v>0</v>
      </c>
      <c r="H29" s="1">
        <v>0.58399999999999996</v>
      </c>
      <c r="I29" s="2">
        <f t="shared" si="0"/>
        <v>0</v>
      </c>
    </row>
    <row r="30" spans="1:9" hidden="1" x14ac:dyDescent="0.25">
      <c r="A30" s="1">
        <v>28</v>
      </c>
      <c r="B30" s="5"/>
      <c r="C30" s="5" t="s">
        <v>451</v>
      </c>
      <c r="D30" s="5"/>
      <c r="E30" s="1"/>
      <c r="F30" s="1" t="s">
        <v>287</v>
      </c>
      <c r="G30" s="1">
        <v>0</v>
      </c>
      <c r="H30" s="1">
        <v>1.1060000000000001</v>
      </c>
      <c r="I30" s="2">
        <f t="shared" si="0"/>
        <v>0</v>
      </c>
    </row>
    <row r="31" spans="1:9" ht="30" hidden="1" customHeight="1" x14ac:dyDescent="0.25">
      <c r="A31" s="1">
        <v>29</v>
      </c>
      <c r="B31" s="5"/>
      <c r="C31" s="4" t="s">
        <v>452</v>
      </c>
      <c r="D31" s="4"/>
      <c r="E31" s="1"/>
      <c r="F31" s="1" t="s">
        <v>442</v>
      </c>
      <c r="G31" s="7">
        <v>0</v>
      </c>
      <c r="H31" s="1">
        <v>2.1989999999999998</v>
      </c>
      <c r="I31" s="2">
        <f t="shared" si="0"/>
        <v>0</v>
      </c>
    </row>
    <row r="32" spans="1:9" ht="30" customHeight="1" x14ac:dyDescent="0.25">
      <c r="A32" s="122">
        <v>30</v>
      </c>
      <c r="B32" s="138"/>
      <c r="C32" s="138" t="s">
        <v>453</v>
      </c>
      <c r="D32" s="138"/>
      <c r="E32" s="122"/>
      <c r="F32" s="122" t="s">
        <v>442</v>
      </c>
      <c r="G32" s="201">
        <v>25</v>
      </c>
      <c r="H32" s="122">
        <v>1.5860000000000001</v>
      </c>
      <c r="I32" s="202">
        <f t="shared" si="0"/>
        <v>39.65</v>
      </c>
    </row>
    <row r="33" spans="1:9" x14ac:dyDescent="0.25">
      <c r="A33" s="122">
        <v>31</v>
      </c>
      <c r="B33" s="138"/>
      <c r="C33" s="138" t="s">
        <v>454</v>
      </c>
      <c r="D33" s="138"/>
      <c r="E33" s="122"/>
      <c r="F33" s="122" t="s">
        <v>287</v>
      </c>
      <c r="G33" s="201">
        <v>10</v>
      </c>
      <c r="H33" s="122">
        <v>0.36099999999999999</v>
      </c>
      <c r="I33" s="202">
        <f t="shared" si="0"/>
        <v>3.61</v>
      </c>
    </row>
    <row r="34" spans="1:9" x14ac:dyDescent="0.25">
      <c r="A34" s="122">
        <v>32</v>
      </c>
      <c r="B34" s="138"/>
      <c r="C34" s="138" t="s">
        <v>455</v>
      </c>
      <c r="D34" s="138"/>
      <c r="E34" s="122"/>
      <c r="F34" s="122" t="s">
        <v>287</v>
      </c>
      <c r="G34" s="201">
        <v>10</v>
      </c>
      <c r="H34" s="122">
        <v>0.42599999999999999</v>
      </c>
      <c r="I34" s="202">
        <f t="shared" si="0"/>
        <v>4.26</v>
      </c>
    </row>
    <row r="35" spans="1:9" ht="30" hidden="1" customHeight="1" x14ac:dyDescent="0.25">
      <c r="A35" s="1">
        <v>33</v>
      </c>
      <c r="B35" s="5"/>
      <c r="C35" s="4" t="s">
        <v>456</v>
      </c>
      <c r="D35" s="4"/>
      <c r="E35" s="1"/>
      <c r="F35" s="1" t="s">
        <v>457</v>
      </c>
      <c r="G35" s="1">
        <v>0</v>
      </c>
      <c r="H35" s="1">
        <v>1</v>
      </c>
      <c r="I35" s="2">
        <f t="shared" si="0"/>
        <v>0</v>
      </c>
    </row>
    <row r="36" spans="1:9" ht="30" hidden="1" customHeight="1" x14ac:dyDescent="0.25">
      <c r="A36" s="1">
        <v>34</v>
      </c>
      <c r="B36" s="5"/>
      <c r="C36" s="4" t="s">
        <v>458</v>
      </c>
      <c r="D36" s="4"/>
      <c r="E36" s="1"/>
      <c r="F36" s="1" t="s">
        <v>457</v>
      </c>
      <c r="G36" s="1">
        <v>0</v>
      </c>
      <c r="H36" s="1">
        <v>0.65</v>
      </c>
      <c r="I36" s="2">
        <f t="shared" si="0"/>
        <v>0</v>
      </c>
    </row>
    <row r="37" spans="1:9" hidden="1" x14ac:dyDescent="0.25">
      <c r="A37" s="1">
        <v>35</v>
      </c>
      <c r="B37" s="5"/>
      <c r="C37" s="4" t="s">
        <v>459</v>
      </c>
      <c r="D37" s="4"/>
      <c r="E37" s="1"/>
      <c r="F37" s="1" t="s">
        <v>287</v>
      </c>
      <c r="G37" s="1">
        <v>0</v>
      </c>
      <c r="H37" s="1">
        <v>0.7</v>
      </c>
      <c r="I37" s="2">
        <f t="shared" si="0"/>
        <v>0</v>
      </c>
    </row>
    <row r="38" spans="1:9" hidden="1" x14ac:dyDescent="0.25">
      <c r="A38" s="1">
        <v>36</v>
      </c>
      <c r="B38" s="5"/>
      <c r="C38" s="4" t="s">
        <v>460</v>
      </c>
      <c r="D38" s="4"/>
      <c r="E38" s="1"/>
      <c r="F38" s="1" t="s">
        <v>287</v>
      </c>
      <c r="G38" s="1">
        <v>0</v>
      </c>
      <c r="H38" s="1">
        <v>0.41099999999999998</v>
      </c>
      <c r="I38" s="2">
        <f t="shared" si="0"/>
        <v>0</v>
      </c>
    </row>
    <row r="39" spans="1:9" ht="30" customHeight="1" x14ac:dyDescent="0.25">
      <c r="A39" s="122">
        <v>37</v>
      </c>
      <c r="B39" s="138"/>
      <c r="C39" s="138" t="s">
        <v>461</v>
      </c>
      <c r="D39" s="138"/>
      <c r="E39" s="122"/>
      <c r="F39" s="122" t="s">
        <v>287</v>
      </c>
      <c r="G39" s="122">
        <v>1</v>
      </c>
      <c r="H39" s="122">
        <v>25</v>
      </c>
      <c r="I39" s="202">
        <f t="shared" si="0"/>
        <v>25</v>
      </c>
    </row>
    <row r="40" spans="1:9" ht="30" customHeight="1" x14ac:dyDescent="0.25">
      <c r="A40" s="122">
        <v>38</v>
      </c>
      <c r="B40" s="138"/>
      <c r="C40" s="138" t="s">
        <v>462</v>
      </c>
      <c r="D40" s="138"/>
      <c r="E40" s="122"/>
      <c r="F40" s="122" t="s">
        <v>287</v>
      </c>
      <c r="G40" s="122">
        <v>1</v>
      </c>
      <c r="H40" s="122">
        <v>4.17</v>
      </c>
      <c r="I40" s="202">
        <f t="shared" si="0"/>
        <v>4.17</v>
      </c>
    </row>
    <row r="41" spans="1:9" hidden="1" x14ac:dyDescent="0.25">
      <c r="A41" s="1">
        <v>39</v>
      </c>
      <c r="B41" s="5"/>
      <c r="C41" s="4" t="s">
        <v>463</v>
      </c>
      <c r="D41" s="4"/>
      <c r="E41" s="1"/>
      <c r="F41" s="1" t="s">
        <v>287</v>
      </c>
      <c r="G41" s="1">
        <v>0</v>
      </c>
      <c r="H41" s="1">
        <v>0.23</v>
      </c>
      <c r="I41" s="2">
        <f t="shared" si="0"/>
        <v>0</v>
      </c>
    </row>
    <row r="42" spans="1:9" x14ac:dyDescent="0.25">
      <c r="A42" s="122">
        <v>40</v>
      </c>
      <c r="B42" s="138"/>
      <c r="C42" s="138" t="s">
        <v>464</v>
      </c>
      <c r="D42" s="138"/>
      <c r="E42" s="122"/>
      <c r="F42" s="122" t="s">
        <v>307</v>
      </c>
      <c r="G42" s="122">
        <v>1</v>
      </c>
      <c r="H42" s="122"/>
      <c r="I42" s="202"/>
    </row>
    <row r="43" spans="1:9" x14ac:dyDescent="0.25">
      <c r="A43" s="122">
        <v>41</v>
      </c>
      <c r="B43" s="138"/>
      <c r="C43" s="138" t="s">
        <v>465</v>
      </c>
      <c r="D43" s="201">
        <v>60</v>
      </c>
      <c r="E43" s="9">
        <v>0.13500000000000001</v>
      </c>
      <c r="F43" s="122" t="s">
        <v>466</v>
      </c>
      <c r="G43" s="201">
        <v>25</v>
      </c>
      <c r="H43" s="201">
        <v>15</v>
      </c>
      <c r="I43" s="202">
        <f>H43*G43</f>
        <v>375</v>
      </c>
    </row>
    <row r="44" spans="1:9" x14ac:dyDescent="0.25">
      <c r="A44" s="122"/>
      <c r="B44" s="138"/>
      <c r="C44" s="138"/>
      <c r="D44" s="138"/>
      <c r="E44" s="122"/>
      <c r="F44" s="122"/>
      <c r="G44" s="122"/>
      <c r="H44" s="122"/>
      <c r="I44" s="202"/>
    </row>
    <row r="45" spans="1:9" ht="15.75" customHeight="1" x14ac:dyDescent="0.25">
      <c r="A45" s="203"/>
      <c r="B45" s="203"/>
      <c r="C45" s="203" t="s">
        <v>467</v>
      </c>
      <c r="D45" s="203"/>
      <c r="E45" s="203"/>
      <c r="F45" s="203"/>
      <c r="G45" s="203"/>
      <c r="H45" s="203"/>
      <c r="I45" s="204">
        <f>SUM(I3:I44)</f>
        <v>902.63900000000001</v>
      </c>
    </row>
    <row r="46" spans="1:9" x14ac:dyDescent="0.25">
      <c r="A46" s="9"/>
      <c r="B46" s="9"/>
      <c r="C46" s="9"/>
      <c r="D46" s="9"/>
      <c r="E46" s="9"/>
      <c r="F46" s="9"/>
      <c r="G46" s="9"/>
      <c r="H46" s="9"/>
      <c r="I46" s="9"/>
    </row>
    <row r="47" spans="1:9" x14ac:dyDescent="0.25">
      <c r="A47" s="9"/>
      <c r="B47" s="9"/>
      <c r="C47" s="15"/>
      <c r="D47" s="15"/>
      <c r="E47" s="9"/>
      <c r="F47" s="9"/>
      <c r="G47" s="9"/>
      <c r="H47" s="9"/>
      <c r="I47" s="9"/>
    </row>
    <row r="48" spans="1:9" x14ac:dyDescent="0.25">
      <c r="A48" s="9"/>
      <c r="B48" s="122"/>
      <c r="C48" s="9"/>
      <c r="D48" s="9"/>
      <c r="E48" s="9"/>
      <c r="F48" s="9"/>
      <c r="G48" s="9"/>
      <c r="H48" s="9"/>
      <c r="I48" s="9"/>
    </row>
    <row r="49" spans="1:9" x14ac:dyDescent="0.25">
      <c r="A49" s="9"/>
      <c r="B49" s="9"/>
      <c r="C49" s="9" t="s">
        <v>468</v>
      </c>
      <c r="D49" s="9"/>
      <c r="E49" s="9"/>
      <c r="F49" s="9"/>
      <c r="G49" s="9"/>
      <c r="H49" s="9"/>
      <c r="I49" s="9"/>
    </row>
    <row r="50" spans="1:9" x14ac:dyDescent="0.25">
      <c r="A50" s="9"/>
      <c r="B50" s="9"/>
      <c r="C50" s="9" t="s">
        <v>469</v>
      </c>
      <c r="D50" s="9"/>
      <c r="E50" s="9"/>
      <c r="F50" s="9"/>
      <c r="G50" s="9"/>
      <c r="H50" s="9"/>
      <c r="I50" s="9"/>
    </row>
    <row r="51" spans="1:9" x14ac:dyDescent="0.25">
      <c r="A51" s="9"/>
      <c r="B51" s="9"/>
      <c r="C51" s="9" t="s">
        <v>470</v>
      </c>
      <c r="D51" s="9"/>
      <c r="E51" s="9"/>
      <c r="F51" s="9"/>
      <c r="G51" s="9"/>
      <c r="H51" s="9"/>
      <c r="I51" s="9"/>
    </row>
    <row r="52" spans="1:9" x14ac:dyDescent="0.25">
      <c r="A52" s="9"/>
      <c r="B52" s="9"/>
      <c r="C52" s="9" t="s">
        <v>471</v>
      </c>
      <c r="D52" s="9"/>
      <c r="E52" s="9"/>
      <c r="F52" s="9"/>
      <c r="G52" s="9"/>
      <c r="H52" s="9"/>
      <c r="I52" s="9"/>
    </row>
  </sheetData>
  <autoFilter ref="A2:I43" xr:uid="{00000000-0009-0000-0000-000018000000}">
    <filterColumn colId="6">
      <filters>
        <filter val="1"/>
        <filter val="10"/>
        <filter val="2"/>
        <filter val="25"/>
        <filter val="3"/>
        <filter val="4"/>
      </filters>
    </filterColumn>
  </autoFilter>
  <printOptions horizontalCentered="1"/>
  <pageMargins left="3.937007874015748E-2" right="3.937007874015748E-2" top="0.35433070866141742" bottom="0.35433070866141742" header="0.31496062992125978" footer="0.31496062992125978"/>
  <pageSetup paperSize="9" scale="70" fitToHeight="0" orientation="landscape" r:id="rId1"/>
  <headerFooter>
    <oddFooter>&amp;C&amp;14 &amp;K04+000&amp;A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